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  <sheet name="Лист1 (2)" sheetId="2" r:id="rId2"/>
  </sheets>
  <definedNames>
    <definedName name="_xlnm.Print_Titles" localSheetId="0">'Лист1'!$13:$14</definedName>
    <definedName name="_xlnm.Print_Titles" localSheetId="1">'Лист1 (2)'!$14:$15</definedName>
    <definedName name="_xlnm.Print_Area" localSheetId="0">'Лист1'!$A$1:$K$404</definedName>
  </definedNames>
  <calcPr fullCalcOnLoad="1"/>
</workbook>
</file>

<file path=xl/sharedStrings.xml><?xml version="1.0" encoding="utf-8"?>
<sst xmlns="http://schemas.openxmlformats.org/spreadsheetml/2006/main" count="533" uniqueCount="163">
  <si>
    <t>Приложение № 1</t>
  </si>
  <si>
    <t>к Постановлению Главы</t>
  </si>
  <si>
    <t xml:space="preserve">Сергиево-Посадского </t>
  </si>
  <si>
    <t>муниципального района</t>
  </si>
  <si>
    <t>Московской области</t>
  </si>
  <si>
    <t>от __________ № ________</t>
  </si>
  <si>
    <t>НОРМАТИВНЫЕ ЗАТРАТЫ</t>
  </si>
  <si>
    <t>НА ОКАЗАНИЕ МУНИЦИПАЛЬНЫХ УСЛУГ ФИЗИЧЕСКИМ И ЮРИДИЧЕСКИМ ЛИЦАМ</t>
  </si>
  <si>
    <t>МУНИЦИПАЛЬНОГО РАЙОНА МОСКОВСКОЙ ОБЛАСТИ В 2012 ГОДУ</t>
  </si>
  <si>
    <t>№ п/п</t>
  </si>
  <si>
    <t>Наименование муниципальной услуги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</si>
  <si>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</si>
  <si>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</si>
  <si>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</si>
  <si>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</si>
  <si>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</si>
  <si>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Наименование муниципальной услуги (согласно перечню услуг утвержденных постановлением Главы района)</t>
  </si>
  <si>
    <t>средства бюджета района</t>
  </si>
  <si>
    <t>Средства, получаемые из другого уровня бюджета</t>
  </si>
  <si>
    <t>Приложение № 2</t>
  </si>
  <si>
    <t>НА СОДЕРЖАНИЕ ИМУЩЕСТВА, ВКЛЮЧАЕМЫЕ В ФИНАНСОВОЕ ОБЕСПЕЧЕНИЕ МУНИЦИПАЛЬНОГО ЗАДАНИЯ</t>
  </si>
  <si>
    <t>Наименование муниципальной услуги / источника финансирования / муниципального учреждения</t>
  </si>
  <si>
    <t>Нормативные затраты на содержание имущества муниципальных учреждений, руб.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</si>
  <si>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</si>
  <si>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</si>
  <si>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</si>
  <si>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r>
      <rPr>
        <b/>
        <sz val="9"/>
        <rFont val="Arial"/>
        <family val="2"/>
      </rPr>
      <t>МБОУ "СОШ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</si>
  <si>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"ФМЛ"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</si>
  <si>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"СОШ № 4"</t>
    </r>
    <r>
      <rPr>
        <sz val="9"/>
        <rFont val="Arial"/>
        <family val="0"/>
      </rPr>
      <t xml:space="preserve"> всего, в том числе</t>
    </r>
  </si>
  <si>
    <r>
      <rPr>
        <b/>
        <sz val="9"/>
        <rFont val="Arial"/>
        <family val="2"/>
      </rPr>
      <t>МБОУ "Гимназия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</si>
  <si>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"СОШ № 6"</t>
    </r>
    <r>
      <rPr>
        <sz val="9"/>
        <rFont val="Arial"/>
        <family val="0"/>
      </rPr>
      <t xml:space="preserve"> всего, в том числе</t>
    </r>
  </si>
  <si>
    <r>
      <rPr>
        <b/>
        <sz val="9"/>
        <rFont val="Arial"/>
        <family val="2"/>
      </rPr>
      <t>МБОУ  "СОШ (коррекционная)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</si>
  <si>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</si>
  <si>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</si>
  <si>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</si>
  <si>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</si>
  <si>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13"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</si>
  <si>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</si>
  <si>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</si>
  <si>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</si>
  <si>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</si>
  <si>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</si>
  <si>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</si>
  <si>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</si>
  <si>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</si>
  <si>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</si>
  <si>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"Лицей № 24"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</si>
  <si>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</si>
  <si>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</si>
  <si>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</si>
  <si>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</si>
  <si>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29"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</si>
  <si>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"Краснозаводская СОШ 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</si>
  <si>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"Краснозаводская СОШ 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</si>
  <si>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5 г. Пересвет"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</si>
  <si>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8 г. Пересвет"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</si>
  <si>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СОШ 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</si>
  <si>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НОШ  № 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</si>
  <si>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ООШ  № 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</si>
  <si>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СОШ 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</si>
  <si>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"Бужаниновская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</si>
  <si>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"Васильевская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</si>
  <si>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"Загорские дали"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</si>
  <si>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"Торгашинская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</si>
  <si>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"Шеметовская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</si>
  <si>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</si>
  <si>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</si>
  <si>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</si>
  <si>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7"</t>
    </r>
    <r>
      <rPr>
        <sz val="9"/>
        <rFont val="Arial"/>
        <family val="2"/>
      </rPr>
      <t xml:space="preserve"> всего, в том числе</t>
    </r>
  </si>
  <si>
    <t>ОУ</t>
  </si>
  <si>
    <t>Учреждения дополнительного образования</t>
  </si>
  <si>
    <r>
      <rPr>
        <b/>
        <sz val="9"/>
        <rFont val="Arial"/>
        <family val="2"/>
      </rPr>
      <t>МБОУДОД  ДЮСШ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</si>
  <si>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 "Кругозор"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</si>
  <si>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 "Истоки"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</si>
  <si>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ЦДТ г. Краснозаводск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</si>
  <si>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"Гармония"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</si>
  <si>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"Кристалл"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</si>
  <si>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"Юность"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</si>
  <si>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"Спутник"</t>
    </r>
    <r>
      <rPr>
        <sz val="9"/>
        <rFont val="Arial"/>
        <family val="2"/>
      </rPr>
      <t xml:space="preserve"> всего, в том числе</t>
    </r>
  </si>
  <si>
    <t>ДОУ</t>
  </si>
  <si>
    <r>
      <rPr>
        <b/>
        <sz val="9"/>
        <rFont val="Arial"/>
        <family val="2"/>
      </rPr>
      <t>МБДОУ  "Детский сад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</si>
  <si>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</si>
  <si>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</si>
  <si>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</si>
  <si>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</si>
  <si>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</si>
  <si>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</si>
  <si>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</si>
  <si>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</si>
  <si>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</si>
  <si>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</si>
  <si>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</si>
  <si>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</si>
  <si>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</si>
  <si>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</si>
  <si>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</si>
  <si>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</si>
  <si>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</si>
  <si>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</si>
  <si>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</si>
  <si>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</si>
  <si>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</si>
  <si>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</si>
  <si>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</si>
  <si>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</si>
  <si>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</si>
  <si>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</si>
  <si>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</si>
  <si>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</si>
  <si>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</si>
  <si>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</si>
  <si>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</si>
  <si>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</si>
  <si>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</si>
  <si>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</si>
  <si>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</si>
  <si>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</si>
  <si>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</si>
  <si>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</si>
  <si>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</si>
  <si>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</si>
  <si>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</si>
  <si>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</si>
  <si>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</si>
  <si>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</si>
  <si>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</si>
  <si>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</si>
  <si>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</si>
  <si>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</si>
  <si>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</si>
  <si>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</si>
  <si>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</si>
  <si>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</si>
  <si>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</si>
  <si>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</si>
  <si>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</si>
  <si>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</si>
  <si>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</si>
  <si>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</si>
  <si>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</si>
  <si>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</si>
  <si>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</si>
  <si>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</si>
  <si>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</si>
  <si>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</si>
  <si>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</si>
  <si>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69"</t>
    </r>
    <r>
      <rPr>
        <sz val="9"/>
        <rFont val="Arial"/>
        <family val="2"/>
      </rPr>
      <t xml:space="preserve"> всего, в том числе</t>
    </r>
  </si>
  <si>
    <t>средства, получаемые из другого уровня бюджета</t>
  </si>
  <si>
    <r>
      <t>МБОУ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Сергиево-Посадская гимназия"</t>
    </r>
    <r>
      <rPr>
        <sz val="9"/>
        <rFont val="Arial"/>
        <family val="0"/>
      </rPr>
      <t xml:space="preserve"> всего, в том числе</t>
    </r>
  </si>
  <si>
    <t>Прочие учреждения</t>
  </si>
  <si>
    <t>1.</t>
  </si>
  <si>
    <r>
      <t xml:space="preserve">УМЦО  </t>
    </r>
    <r>
      <rPr>
        <sz val="9"/>
        <rFont val="Arial"/>
        <family val="2"/>
      </rPr>
      <t>всего, в том числе</t>
    </r>
  </si>
  <si>
    <t>Численность</t>
  </si>
  <si>
    <t>Начальник управления образования                                                                                             О.К. Дударева</t>
  </si>
  <si>
    <t xml:space="preserve">МУНИЦИПАЛЬНЫМИ БЮДЖЕТНЫМИ УЧРЕЖДЕНИЯМИ ОБРАЗОВАНИЯ СЕРГИЕВО-ПОСАДСКОГО </t>
  </si>
  <si>
    <t xml:space="preserve">МУНИЦИПАЛЬНЫМИ БЮДЖЕТНЫМИ УЧРЕЖДЕНИЯМИ ОБРАЗОВАНИЯ СЕРГИЕВО-ПОСАДСКОГО МУНИЦИПАЛЬНОГО </t>
  </si>
  <si>
    <t>В 2012 ГОДУ ЗА СЧЕТ СРЕДСТВ БЮДЖЕТА РАЙОНА</t>
  </si>
  <si>
    <t>Объёмы муниципального задания на оказание муниципальных услуг</t>
  </si>
  <si>
    <t>В натуральном выражении, ед.</t>
  </si>
  <si>
    <t>В стоимостном выражении, руб.</t>
  </si>
  <si>
    <t>Итого нормативные затраты</t>
  </si>
  <si>
    <t>Начальник управления образования                                                                                                                                                                                 О.К. Дударева</t>
  </si>
  <si>
    <t>от 30.08.2012 № 1880-ПГ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</si>
</sst>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4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4" fontId="0" fillId="24" borderId="0" xfId="0" applyNumberFormat="1" applyFill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24" borderId="0" xfId="0" applyFont="1" applyFill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24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24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4"/>
  <sheetViews>
    <sheetView tabSelected="1" view="pageBreakPreview" zoomScale="60" zoomScaleNormal="75" workbookViewId="0" topLeftCell="D1">
      <selection activeCell="A11" sqref="A11:K11"/>
    </sheetView>
  </sheetViews>
  <sheetFormatPr defaultColWidth="9.140625" defaultRowHeight="12"/>
  <cols>
    <col min="1" max="1" width="4.57421875" style="5" customWidth="1"/>
    <col min="2" max="2" width="55.421875" style="5" customWidth="1"/>
    <col min="3" max="3" width="18.00390625" style="5" customWidth="1"/>
    <col min="4" max="4" width="25.7109375" style="5" customWidth="1"/>
    <col min="5" max="5" width="23.7109375" style="5" customWidth="1"/>
    <col min="6" max="6" width="11.8515625" style="5" hidden="1" customWidth="1"/>
    <col min="7" max="7" width="15.8515625" style="5" customWidth="1"/>
    <col min="8" max="8" width="14.28125" style="19" customWidth="1"/>
    <col min="9" max="9" width="16.28125" style="18" customWidth="1"/>
    <col min="10" max="10" width="22.28125" style="30" customWidth="1"/>
    <col min="11" max="11" width="22.140625" style="0" customWidth="1"/>
  </cols>
  <sheetData>
    <row r="1" ht="12.75">
      <c r="J1" s="20" t="s">
        <v>0</v>
      </c>
    </row>
    <row r="2" ht="12.75">
      <c r="J2" s="20" t="s">
        <v>1</v>
      </c>
    </row>
    <row r="3" ht="12.75">
      <c r="J3" s="20" t="s">
        <v>2</v>
      </c>
    </row>
    <row r="4" ht="12.75">
      <c r="J4" s="20" t="s">
        <v>3</v>
      </c>
    </row>
    <row r="5" ht="12.75">
      <c r="J5" s="20" t="s">
        <v>4</v>
      </c>
    </row>
    <row r="6" ht="12.75">
      <c r="J6" s="20" t="s">
        <v>162</v>
      </c>
    </row>
    <row r="8" spans="1:13" ht="12.75" customHeight="1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1"/>
      <c r="M8" s="1"/>
    </row>
    <row r="9" spans="1:13" ht="12.75" customHeight="1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1"/>
      <c r="M9" s="1"/>
    </row>
    <row r="10" spans="1:13" ht="12.75" customHeight="1">
      <c r="A10" s="45" t="s">
        <v>154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"/>
      <c r="M10" s="1"/>
    </row>
    <row r="11" spans="1:13" ht="12.75" customHeight="1">
      <c r="A11" s="45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"/>
      <c r="M11" s="1"/>
    </row>
    <row r="13" spans="1:11" ht="48" customHeight="1">
      <c r="A13" s="43" t="s">
        <v>9</v>
      </c>
      <c r="B13" s="44" t="s">
        <v>10</v>
      </c>
      <c r="C13" s="43" t="s">
        <v>11</v>
      </c>
      <c r="D13" s="43"/>
      <c r="E13" s="43"/>
      <c r="F13" s="43"/>
      <c r="G13" s="43"/>
      <c r="H13" s="40" t="s">
        <v>157</v>
      </c>
      <c r="I13" s="41"/>
      <c r="J13" s="38" t="s">
        <v>22</v>
      </c>
      <c r="K13" s="38" t="s">
        <v>160</v>
      </c>
    </row>
    <row r="14" spans="1:11" ht="63.75" customHeight="1">
      <c r="A14" s="43"/>
      <c r="B14" s="44"/>
      <c r="C14" s="9" t="s">
        <v>12</v>
      </c>
      <c r="D14" s="9" t="s">
        <v>13</v>
      </c>
      <c r="E14" s="9" t="s">
        <v>14</v>
      </c>
      <c r="F14" s="17" t="s">
        <v>152</v>
      </c>
      <c r="G14" s="9" t="s">
        <v>15</v>
      </c>
      <c r="H14" s="21" t="s">
        <v>158</v>
      </c>
      <c r="I14" s="22" t="s">
        <v>159</v>
      </c>
      <c r="J14" s="39"/>
      <c r="K14" s="39"/>
    </row>
    <row r="15" spans="1:11" ht="12.75">
      <c r="A15" s="10">
        <v>1</v>
      </c>
      <c r="B15" s="42" t="s">
        <v>16</v>
      </c>
      <c r="C15" s="42"/>
      <c r="D15" s="42"/>
      <c r="E15" s="42"/>
      <c r="F15" s="42"/>
      <c r="G15" s="42"/>
      <c r="H15" s="23"/>
      <c r="I15" s="24"/>
      <c r="J15" s="31"/>
      <c r="K15" s="33"/>
    </row>
    <row r="16" spans="1:11" ht="12.75">
      <c r="A16" s="10"/>
      <c r="B16" s="6" t="s">
        <v>69</v>
      </c>
      <c r="C16" s="6"/>
      <c r="D16" s="6"/>
      <c r="E16" s="6"/>
      <c r="F16" s="6"/>
      <c r="G16" s="6"/>
      <c r="H16" s="23"/>
      <c r="I16" s="24"/>
      <c r="J16" s="29"/>
      <c r="K16" s="33"/>
    </row>
    <row r="17" spans="1:11" ht="12.75">
      <c r="A17" s="9">
        <v>1</v>
      </c>
      <c r="B17" s="8" t="s">
        <v>148</v>
      </c>
      <c r="C17" s="11">
        <f>C18+C19</f>
        <v>51744.65648854962</v>
      </c>
      <c r="D17" s="11">
        <f>D18+D19</f>
        <v>2326.7175572519086</v>
      </c>
      <c r="E17" s="11">
        <f>E18+E19</f>
        <v>2592.030152671756</v>
      </c>
      <c r="F17" s="11">
        <v>262</v>
      </c>
      <c r="G17" s="11">
        <f>G18+G19</f>
        <v>56663.40419847328</v>
      </c>
      <c r="H17" s="25">
        <v>262</v>
      </c>
      <c r="I17" s="11">
        <f>G17*H17</f>
        <v>14845811.9</v>
      </c>
      <c r="J17" s="29">
        <v>338265.02</v>
      </c>
      <c r="K17" s="29">
        <f>I17+J17</f>
        <v>15184076.92</v>
      </c>
    </row>
    <row r="18" spans="1:11" ht="12.75">
      <c r="A18" s="9"/>
      <c r="B18" s="7" t="s">
        <v>17</v>
      </c>
      <c r="C18" s="12"/>
      <c r="D18" s="12">
        <f>609600/F18</f>
        <v>2326.7175572519086</v>
      </c>
      <c r="E18" s="12">
        <f>164411.9/F18</f>
        <v>627.5263358778626</v>
      </c>
      <c r="F18" s="12">
        <f>F17</f>
        <v>262</v>
      </c>
      <c r="G18" s="12">
        <f>(C18+D18+E18)</f>
        <v>2954.243893129771</v>
      </c>
      <c r="H18" s="25">
        <v>262</v>
      </c>
      <c r="I18" s="26">
        <f aca="true" t="shared" si="0" ref="I18:I81">G18*H18</f>
        <v>774011.9</v>
      </c>
      <c r="J18" s="32">
        <f>J17</f>
        <v>338265.02</v>
      </c>
      <c r="K18" s="32">
        <f aca="true" t="shared" si="1" ref="K18:K81">I18+J18</f>
        <v>1112276.92</v>
      </c>
    </row>
    <row r="19" spans="1:11" ht="12.75">
      <c r="A19" s="9"/>
      <c r="B19" s="7" t="s">
        <v>147</v>
      </c>
      <c r="C19" s="12">
        <f>13557100/F19</f>
        <v>51744.65648854962</v>
      </c>
      <c r="D19" s="12"/>
      <c r="E19" s="12">
        <f>514700/F19</f>
        <v>1964.503816793893</v>
      </c>
      <c r="F19" s="12">
        <f>F17</f>
        <v>262</v>
      </c>
      <c r="G19" s="12">
        <f>(C19+D19+E19)</f>
        <v>53709.16030534351</v>
      </c>
      <c r="H19" s="25">
        <v>262</v>
      </c>
      <c r="I19" s="26">
        <f t="shared" si="0"/>
        <v>14071800</v>
      </c>
      <c r="J19" s="32"/>
      <c r="K19" s="32">
        <f t="shared" si="1"/>
        <v>14071800</v>
      </c>
    </row>
    <row r="20" spans="1:11" ht="12.75">
      <c r="A20" s="9">
        <v>2</v>
      </c>
      <c r="B20" s="7" t="s">
        <v>26</v>
      </c>
      <c r="C20" s="11">
        <f>C21+C22</f>
        <v>33523.7037037037</v>
      </c>
      <c r="D20" s="11">
        <f>D21+D22</f>
        <v>3213.420444444444</v>
      </c>
      <c r="E20" s="11">
        <f>E21+E22</f>
        <v>3036.13602962963</v>
      </c>
      <c r="F20" s="11">
        <v>675</v>
      </c>
      <c r="G20" s="11">
        <f>G21+G22</f>
        <v>39773.260177777775</v>
      </c>
      <c r="H20" s="25">
        <v>675</v>
      </c>
      <c r="I20" s="11">
        <f t="shared" si="0"/>
        <v>26846950.619999997</v>
      </c>
      <c r="J20" s="29">
        <v>3436345.81</v>
      </c>
      <c r="K20" s="29">
        <f t="shared" si="1"/>
        <v>30283296.429999996</v>
      </c>
    </row>
    <row r="21" spans="1:11" ht="12.75">
      <c r="A21" s="9"/>
      <c r="B21" s="7" t="s">
        <v>17</v>
      </c>
      <c r="C21" s="12"/>
      <c r="D21" s="12">
        <f>2169058.8/F21</f>
        <v>3213.420444444444</v>
      </c>
      <c r="E21" s="12">
        <f>543191.82/F21</f>
        <v>804.7286222222222</v>
      </c>
      <c r="F21" s="12">
        <f>F20</f>
        <v>675</v>
      </c>
      <c r="G21" s="12">
        <f>(C21+D21+E21)</f>
        <v>4018.149066666666</v>
      </c>
      <c r="H21" s="25">
        <v>675</v>
      </c>
      <c r="I21" s="26">
        <f t="shared" si="0"/>
        <v>2712250.6199999996</v>
      </c>
      <c r="J21" s="32">
        <f>J20</f>
        <v>3436345.81</v>
      </c>
      <c r="K21" s="32">
        <f t="shared" si="1"/>
        <v>6148596.43</v>
      </c>
    </row>
    <row r="22" spans="1:11" ht="12.75">
      <c r="A22" s="9"/>
      <c r="B22" s="7" t="s">
        <v>147</v>
      </c>
      <c r="C22" s="12">
        <f>22628500/F22</f>
        <v>33523.7037037037</v>
      </c>
      <c r="D22" s="12"/>
      <c r="E22" s="12">
        <f>1506200/F22</f>
        <v>2231.4074074074074</v>
      </c>
      <c r="F22" s="12">
        <f>F20</f>
        <v>675</v>
      </c>
      <c r="G22" s="12">
        <f>(C22+D22+E22)</f>
        <v>35755.11111111111</v>
      </c>
      <c r="H22" s="25">
        <v>675</v>
      </c>
      <c r="I22" s="26">
        <f t="shared" si="0"/>
        <v>24134700</v>
      </c>
      <c r="J22" s="32"/>
      <c r="K22" s="32">
        <f t="shared" si="1"/>
        <v>24134700</v>
      </c>
    </row>
    <row r="23" spans="1:11" ht="12.75">
      <c r="A23" s="9">
        <v>3</v>
      </c>
      <c r="B23" s="7" t="s">
        <v>27</v>
      </c>
      <c r="C23" s="11">
        <f>C24+C25</f>
        <v>69345.33333333333</v>
      </c>
      <c r="D23" s="11">
        <f>D24+D25</f>
        <v>2725.8054666666667</v>
      </c>
      <c r="E23" s="11">
        <f>E24+E25</f>
        <v>2940.666666666667</v>
      </c>
      <c r="F23" s="11">
        <v>150</v>
      </c>
      <c r="G23" s="11">
        <f>G24+G25</f>
        <v>75011.80546666666</v>
      </c>
      <c r="H23" s="25">
        <v>150</v>
      </c>
      <c r="I23" s="11">
        <f t="shared" si="0"/>
        <v>11251770.819999998</v>
      </c>
      <c r="J23" s="29">
        <v>291868.54</v>
      </c>
      <c r="K23" s="29">
        <f t="shared" si="1"/>
        <v>11543639.359999998</v>
      </c>
    </row>
    <row r="24" spans="1:11" ht="12.75">
      <c r="A24" s="9"/>
      <c r="B24" s="7" t="s">
        <v>17</v>
      </c>
      <c r="C24" s="12"/>
      <c r="D24" s="12">
        <f>408870.82/F24</f>
        <v>2725.8054666666667</v>
      </c>
      <c r="E24" s="12">
        <f>163000/F24</f>
        <v>1086.6666666666667</v>
      </c>
      <c r="F24" s="12">
        <f>F23</f>
        <v>150</v>
      </c>
      <c r="G24" s="12">
        <f>(C24+D24+E24)</f>
        <v>3812.4721333333337</v>
      </c>
      <c r="H24" s="25">
        <v>150</v>
      </c>
      <c r="I24" s="26">
        <f t="shared" si="0"/>
        <v>571870.8200000001</v>
      </c>
      <c r="J24" s="32"/>
      <c r="K24" s="32">
        <f t="shared" si="1"/>
        <v>571870.8200000001</v>
      </c>
    </row>
    <row r="25" spans="1:11" ht="12.75">
      <c r="A25" s="9"/>
      <c r="B25" s="7" t="s">
        <v>147</v>
      </c>
      <c r="C25" s="12">
        <f>10401800/F25</f>
        <v>69345.33333333333</v>
      </c>
      <c r="D25" s="12"/>
      <c r="E25" s="12">
        <f>278100/F25</f>
        <v>1854</v>
      </c>
      <c r="F25" s="12">
        <f>F23</f>
        <v>150</v>
      </c>
      <c r="G25" s="12">
        <f>(C25+D25+E25)</f>
        <v>71199.33333333333</v>
      </c>
      <c r="H25" s="25">
        <v>150</v>
      </c>
      <c r="I25" s="26">
        <f t="shared" si="0"/>
        <v>10679900</v>
      </c>
      <c r="J25" s="32"/>
      <c r="K25" s="32">
        <f t="shared" si="1"/>
        <v>10679900</v>
      </c>
    </row>
    <row r="26" spans="1:11" ht="12.75">
      <c r="A26" s="9">
        <v>4</v>
      </c>
      <c r="B26" s="7" t="s">
        <v>28</v>
      </c>
      <c r="C26" s="11">
        <f>C27+C28</f>
        <v>31604.042769857435</v>
      </c>
      <c r="D26" s="11">
        <f>D27+D28</f>
        <v>1577.250285132383</v>
      </c>
      <c r="E26" s="11">
        <f>E27+E28</f>
        <v>2723.625254582485</v>
      </c>
      <c r="F26" s="11">
        <v>982</v>
      </c>
      <c r="G26" s="11">
        <f>G27+G28</f>
        <v>35904.9183095723</v>
      </c>
      <c r="H26" s="25">
        <v>982</v>
      </c>
      <c r="I26" s="11">
        <f t="shared" si="0"/>
        <v>35258629.779999994</v>
      </c>
      <c r="J26" s="29">
        <v>955710.01</v>
      </c>
      <c r="K26" s="29">
        <f t="shared" si="1"/>
        <v>36214339.78999999</v>
      </c>
    </row>
    <row r="27" spans="1:11" ht="12.75">
      <c r="A27" s="9"/>
      <c r="B27" s="7" t="s">
        <v>17</v>
      </c>
      <c r="C27" s="12">
        <f>45570/F27</f>
        <v>46.40529531568228</v>
      </c>
      <c r="D27" s="12">
        <f>1548859.78/F27</f>
        <v>1577.250285132383</v>
      </c>
      <c r="E27" s="12">
        <f>486600/F27</f>
        <v>495.5193482688391</v>
      </c>
      <c r="F27" s="12">
        <f>F26</f>
        <v>982</v>
      </c>
      <c r="G27" s="12">
        <f>(C27+D27+E27)</f>
        <v>2119.174928716904</v>
      </c>
      <c r="H27" s="25">
        <v>982</v>
      </c>
      <c r="I27" s="26">
        <f t="shared" si="0"/>
        <v>2081029.7799999998</v>
      </c>
      <c r="J27" s="32">
        <f>J26</f>
        <v>955710.01</v>
      </c>
      <c r="K27" s="32">
        <f t="shared" si="1"/>
        <v>3036739.79</v>
      </c>
    </row>
    <row r="28" spans="1:11" ht="12.75">
      <c r="A28" s="9"/>
      <c r="B28" s="7" t="s">
        <v>147</v>
      </c>
      <c r="C28" s="12">
        <f>30989600/F28</f>
        <v>31557.637474541752</v>
      </c>
      <c r="D28" s="12"/>
      <c r="E28" s="12">
        <f>2188000/F28</f>
        <v>2228.105906313646</v>
      </c>
      <c r="F28" s="12">
        <f>F26</f>
        <v>982</v>
      </c>
      <c r="G28" s="12">
        <f>(C28+D28+E28)</f>
        <v>33785.7433808554</v>
      </c>
      <c r="H28" s="25">
        <v>982</v>
      </c>
      <c r="I28" s="26">
        <f t="shared" si="0"/>
        <v>33177600</v>
      </c>
      <c r="J28" s="29"/>
      <c r="K28" s="32">
        <f t="shared" si="1"/>
        <v>33177600</v>
      </c>
    </row>
    <row r="29" spans="1:11" ht="12.75">
      <c r="A29" s="9">
        <v>5</v>
      </c>
      <c r="B29" s="7" t="s">
        <v>29</v>
      </c>
      <c r="C29" s="11">
        <f>C30+C31</f>
        <v>43913.868613138686</v>
      </c>
      <c r="D29" s="11">
        <f>D30+D31</f>
        <v>2100.2239854014597</v>
      </c>
      <c r="E29" s="11">
        <f>E30+E31</f>
        <v>3008.899956204379</v>
      </c>
      <c r="F29" s="11">
        <v>685</v>
      </c>
      <c r="G29" s="11">
        <f>G30+G31</f>
        <v>49022.99255474453</v>
      </c>
      <c r="H29" s="25">
        <v>685</v>
      </c>
      <c r="I29" s="11">
        <f t="shared" si="0"/>
        <v>33580749.900000006</v>
      </c>
      <c r="J29" s="29">
        <v>1200021.45</v>
      </c>
      <c r="K29" s="29">
        <f t="shared" si="1"/>
        <v>34780771.35000001</v>
      </c>
    </row>
    <row r="30" spans="1:11" ht="12.75">
      <c r="A30" s="9"/>
      <c r="B30" s="7" t="s">
        <v>17</v>
      </c>
      <c r="C30" s="12"/>
      <c r="D30" s="12">
        <f>1438653.43/F30</f>
        <v>2100.2239854014597</v>
      </c>
      <c r="E30" s="12">
        <f>773696.47/F30</f>
        <v>1129.4838978102189</v>
      </c>
      <c r="F30" s="12">
        <f>F29</f>
        <v>685</v>
      </c>
      <c r="G30" s="12">
        <f>(C30+D30+E30)</f>
        <v>3229.7078832116786</v>
      </c>
      <c r="H30" s="25">
        <v>685</v>
      </c>
      <c r="I30" s="26">
        <f t="shared" si="0"/>
        <v>2212349.9</v>
      </c>
      <c r="J30" s="32">
        <f>J29</f>
        <v>1200021.45</v>
      </c>
      <c r="K30" s="32">
        <f t="shared" si="1"/>
        <v>3412371.3499999996</v>
      </c>
    </row>
    <row r="31" spans="1:11" ht="12.75">
      <c r="A31" s="9"/>
      <c r="B31" s="7" t="s">
        <v>147</v>
      </c>
      <c r="C31" s="12">
        <f>30081000/F31</f>
        <v>43913.868613138686</v>
      </c>
      <c r="D31" s="12"/>
      <c r="E31" s="12">
        <f>1287400/F31</f>
        <v>1879.4160583941605</v>
      </c>
      <c r="F31" s="12">
        <f>F29</f>
        <v>685</v>
      </c>
      <c r="G31" s="12">
        <f>(C31+D31+E31)</f>
        <v>45793.28467153285</v>
      </c>
      <c r="H31" s="25">
        <v>685</v>
      </c>
      <c r="I31" s="26">
        <f t="shared" si="0"/>
        <v>31368400</v>
      </c>
      <c r="J31" s="29"/>
      <c r="K31" s="32">
        <f t="shared" si="1"/>
        <v>31368400</v>
      </c>
    </row>
    <row r="32" spans="1:11" ht="12.75">
      <c r="A32" s="9">
        <v>6</v>
      </c>
      <c r="B32" s="7" t="s">
        <v>30</v>
      </c>
      <c r="C32" s="11">
        <f>C33+C34</f>
        <v>37915.22633744856</v>
      </c>
      <c r="D32" s="11">
        <f>D33+D34</f>
        <v>3938.5470164609055</v>
      </c>
      <c r="E32" s="11">
        <f>E33+E34</f>
        <v>3144.0221810699586</v>
      </c>
      <c r="F32" s="11">
        <v>486</v>
      </c>
      <c r="G32" s="11">
        <f>G33+G34</f>
        <v>44997.79553497943</v>
      </c>
      <c r="H32" s="25">
        <v>486</v>
      </c>
      <c r="I32" s="11">
        <f t="shared" si="0"/>
        <v>21868928.630000003</v>
      </c>
      <c r="J32" s="29">
        <v>1409828.21</v>
      </c>
      <c r="K32" s="29">
        <f t="shared" si="1"/>
        <v>23278756.840000004</v>
      </c>
    </row>
    <row r="33" spans="1:11" ht="12.75">
      <c r="A33" s="9"/>
      <c r="B33" s="7" t="s">
        <v>17</v>
      </c>
      <c r="C33" s="12"/>
      <c r="D33" s="12">
        <f>1914133.85/F33</f>
        <v>3938.5470164609055</v>
      </c>
      <c r="E33" s="12">
        <f>385394.78/F33</f>
        <v>792.9933744855967</v>
      </c>
      <c r="F33" s="12">
        <f>F32</f>
        <v>486</v>
      </c>
      <c r="G33" s="12">
        <f>(C33+D33+E33)</f>
        <v>4731.540390946502</v>
      </c>
      <c r="H33" s="25">
        <v>486</v>
      </c>
      <c r="I33" s="26">
        <f t="shared" si="0"/>
        <v>2299528.63</v>
      </c>
      <c r="J33" s="32">
        <f>J32</f>
        <v>1409828.21</v>
      </c>
      <c r="K33" s="32">
        <f t="shared" si="1"/>
        <v>3709356.84</v>
      </c>
    </row>
    <row r="34" spans="1:11" ht="12.75">
      <c r="A34" s="9"/>
      <c r="B34" s="7" t="s">
        <v>147</v>
      </c>
      <c r="C34" s="12">
        <f>18426800/F34</f>
        <v>37915.22633744856</v>
      </c>
      <c r="D34" s="12"/>
      <c r="E34" s="12">
        <f>1142600/F34</f>
        <v>2351.028806584362</v>
      </c>
      <c r="F34" s="12">
        <f>F32</f>
        <v>486</v>
      </c>
      <c r="G34" s="12">
        <f>(C34+D34+E34)</f>
        <v>40266.255144032926</v>
      </c>
      <c r="H34" s="25">
        <v>486</v>
      </c>
      <c r="I34" s="26">
        <f t="shared" si="0"/>
        <v>19569400.000000004</v>
      </c>
      <c r="J34" s="32"/>
      <c r="K34" s="32">
        <f t="shared" si="1"/>
        <v>19569400.000000004</v>
      </c>
    </row>
    <row r="35" spans="1:11" ht="12.75">
      <c r="A35" s="9">
        <v>7</v>
      </c>
      <c r="B35" s="7" t="s">
        <v>31</v>
      </c>
      <c r="C35" s="11">
        <f>C36+C37</f>
        <v>90863.98305084746</v>
      </c>
      <c r="D35" s="11">
        <f>D36+D37</f>
        <v>2492.057372881356</v>
      </c>
      <c r="E35" s="11">
        <f>E36+E37</f>
        <v>24470.247796610172</v>
      </c>
      <c r="F35" s="11">
        <v>236</v>
      </c>
      <c r="G35" s="11">
        <f>G36+G37</f>
        <v>117826.28822033899</v>
      </c>
      <c r="H35" s="25">
        <v>236</v>
      </c>
      <c r="I35" s="11">
        <f t="shared" si="0"/>
        <v>27807004.020000003</v>
      </c>
      <c r="J35" s="29">
        <v>700137.65</v>
      </c>
      <c r="K35" s="29">
        <f t="shared" si="1"/>
        <v>28507141.67</v>
      </c>
    </row>
    <row r="36" spans="1:11" ht="12.75">
      <c r="A36" s="9"/>
      <c r="B36" s="7" t="s">
        <v>17</v>
      </c>
      <c r="C36" s="12"/>
      <c r="D36" s="12">
        <f>588125.54/F36</f>
        <v>2492.057372881356</v>
      </c>
      <c r="E36" s="12">
        <f>5558278.48/F36</f>
        <v>23552.027457627122</v>
      </c>
      <c r="F36" s="12">
        <f>F35</f>
        <v>236</v>
      </c>
      <c r="G36" s="12">
        <f>(C36+D36+E36)</f>
        <v>26044.08483050848</v>
      </c>
      <c r="H36" s="25">
        <v>236</v>
      </c>
      <c r="I36" s="26">
        <f t="shared" si="0"/>
        <v>6146404.020000001</v>
      </c>
      <c r="J36" s="32">
        <f>J35</f>
        <v>700137.65</v>
      </c>
      <c r="K36" s="32">
        <f t="shared" si="1"/>
        <v>6846541.670000002</v>
      </c>
    </row>
    <row r="37" spans="1:11" ht="12.75">
      <c r="A37" s="9"/>
      <c r="B37" s="7" t="s">
        <v>147</v>
      </c>
      <c r="C37" s="12">
        <f>21443900/F37</f>
        <v>90863.98305084746</v>
      </c>
      <c r="D37" s="12"/>
      <c r="E37" s="12">
        <f>216700/F37</f>
        <v>918.2203389830509</v>
      </c>
      <c r="F37" s="12">
        <f>F35</f>
        <v>236</v>
      </c>
      <c r="G37" s="12">
        <f>(C37+D37+E37)</f>
        <v>91782.20338983051</v>
      </c>
      <c r="H37" s="25">
        <v>236</v>
      </c>
      <c r="I37" s="26">
        <f t="shared" si="0"/>
        <v>21660600</v>
      </c>
      <c r="J37" s="32"/>
      <c r="K37" s="32">
        <f t="shared" si="1"/>
        <v>21660600</v>
      </c>
    </row>
    <row r="38" spans="1:11" ht="12.75">
      <c r="A38" s="9">
        <v>8</v>
      </c>
      <c r="B38" s="7" t="s">
        <v>32</v>
      </c>
      <c r="C38" s="11">
        <f>C39+C40</f>
        <v>39980.12295081967</v>
      </c>
      <c r="D38" s="11">
        <f>D39+D40</f>
        <v>2726.638504098361</v>
      </c>
      <c r="E38" s="11">
        <f>E39+E40</f>
        <v>2655.19881147541</v>
      </c>
      <c r="F38" s="11">
        <v>488</v>
      </c>
      <c r="G38" s="11">
        <f>G39+G40</f>
        <v>45361.96026639344</v>
      </c>
      <c r="H38" s="25">
        <v>488</v>
      </c>
      <c r="I38" s="11">
        <f t="shared" si="0"/>
        <v>22136636.61</v>
      </c>
      <c r="J38" s="29">
        <v>906255.53</v>
      </c>
      <c r="K38" s="29">
        <f t="shared" si="1"/>
        <v>23042892.14</v>
      </c>
    </row>
    <row r="39" spans="1:11" ht="12.75">
      <c r="A39" s="9"/>
      <c r="B39" s="7" t="s">
        <v>17</v>
      </c>
      <c r="C39" s="12"/>
      <c r="D39" s="12">
        <f>1330599.59/F39</f>
        <v>2726.638504098361</v>
      </c>
      <c r="E39" s="12">
        <f>176637.02/F39</f>
        <v>361.96110655737704</v>
      </c>
      <c r="F39" s="12">
        <f>F38</f>
        <v>488</v>
      </c>
      <c r="G39" s="12">
        <f>(C39+D39+E39)</f>
        <v>3088.599610655738</v>
      </c>
      <c r="H39" s="25">
        <v>488</v>
      </c>
      <c r="I39" s="26">
        <f t="shared" si="0"/>
        <v>1507236.6100000003</v>
      </c>
      <c r="J39" s="32">
        <f>J38</f>
        <v>906255.53</v>
      </c>
      <c r="K39" s="32">
        <f t="shared" si="1"/>
        <v>2413492.1400000006</v>
      </c>
    </row>
    <row r="40" spans="1:11" ht="12.75">
      <c r="A40" s="9"/>
      <c r="B40" s="7" t="s">
        <v>147</v>
      </c>
      <c r="C40" s="12">
        <f>19510300/F40</f>
        <v>39980.12295081967</v>
      </c>
      <c r="D40" s="12"/>
      <c r="E40" s="12">
        <f>1119100/F40</f>
        <v>2293.2377049180327</v>
      </c>
      <c r="F40" s="12">
        <f>F38</f>
        <v>488</v>
      </c>
      <c r="G40" s="12">
        <f>(C40+D40+E40)</f>
        <v>42273.360655737706</v>
      </c>
      <c r="H40" s="25">
        <v>488</v>
      </c>
      <c r="I40" s="26">
        <f t="shared" si="0"/>
        <v>20629400</v>
      </c>
      <c r="J40" s="32"/>
      <c r="K40" s="32">
        <f t="shared" si="1"/>
        <v>20629400</v>
      </c>
    </row>
    <row r="41" spans="1:11" ht="12.75">
      <c r="A41" s="9">
        <v>9</v>
      </c>
      <c r="B41" s="7" t="s">
        <v>33</v>
      </c>
      <c r="C41" s="11">
        <f>C42+C43</f>
        <v>26650.51903114187</v>
      </c>
      <c r="D41" s="11">
        <f>D42+D43</f>
        <v>1694.1548096885813</v>
      </c>
      <c r="E41" s="11">
        <f>E42+E43</f>
        <v>3185.3971799307956</v>
      </c>
      <c r="F41" s="11">
        <v>578</v>
      </c>
      <c r="G41" s="11">
        <f>G42+G43</f>
        <v>31530.071020761246</v>
      </c>
      <c r="H41" s="25">
        <v>578</v>
      </c>
      <c r="I41" s="11">
        <f t="shared" si="0"/>
        <v>18224381.05</v>
      </c>
      <c r="J41" s="29">
        <v>720169.15</v>
      </c>
      <c r="K41" s="29">
        <f t="shared" si="1"/>
        <v>18944550.2</v>
      </c>
    </row>
    <row r="42" spans="1:11" ht="12.75">
      <c r="A42" s="9"/>
      <c r="B42" s="7" t="s">
        <v>17</v>
      </c>
      <c r="C42" s="12"/>
      <c r="D42" s="12">
        <f>979221.48/F42</f>
        <v>1694.1548096885813</v>
      </c>
      <c r="E42" s="12">
        <f>277659.57/F42</f>
        <v>480.3798788927336</v>
      </c>
      <c r="F42" s="12">
        <f>F41</f>
        <v>578</v>
      </c>
      <c r="G42" s="12">
        <f>(C42+D42+E42)</f>
        <v>2174.534688581315</v>
      </c>
      <c r="H42" s="25">
        <v>578</v>
      </c>
      <c r="I42" s="26">
        <f t="shared" si="0"/>
        <v>1256881.05</v>
      </c>
      <c r="J42" s="32">
        <f>J41</f>
        <v>720169.15</v>
      </c>
      <c r="K42" s="32">
        <f t="shared" si="1"/>
        <v>1977050.2000000002</v>
      </c>
    </row>
    <row r="43" spans="1:11" ht="12.75">
      <c r="A43" s="9"/>
      <c r="B43" s="7" t="s">
        <v>147</v>
      </c>
      <c r="C43" s="12">
        <f>15404000/F43</f>
        <v>26650.51903114187</v>
      </c>
      <c r="D43" s="12"/>
      <c r="E43" s="12">
        <f>1563500/F43</f>
        <v>2705.017301038062</v>
      </c>
      <c r="F43" s="12">
        <f>F41</f>
        <v>578</v>
      </c>
      <c r="G43" s="12">
        <f>(C43+D43+E43)</f>
        <v>29355.53633217993</v>
      </c>
      <c r="H43" s="25">
        <v>578</v>
      </c>
      <c r="I43" s="26">
        <f t="shared" si="0"/>
        <v>16967500</v>
      </c>
      <c r="J43" s="32"/>
      <c r="K43" s="32">
        <f t="shared" si="1"/>
        <v>16967500</v>
      </c>
    </row>
    <row r="44" spans="1:11" ht="12.75">
      <c r="A44" s="9">
        <v>10</v>
      </c>
      <c r="B44" s="7" t="s">
        <v>34</v>
      </c>
      <c r="C44" s="11">
        <f>C45+C46</f>
        <v>61601.18577075099</v>
      </c>
      <c r="D44" s="11">
        <f>D45+D46</f>
        <v>3071.6600790513835</v>
      </c>
      <c r="E44" s="11">
        <f>E45+E46</f>
        <v>2805.533596837945</v>
      </c>
      <c r="F44" s="11">
        <v>253</v>
      </c>
      <c r="G44" s="11">
        <f>G45+G46</f>
        <v>67478.37944664032</v>
      </c>
      <c r="H44" s="25">
        <v>253</v>
      </c>
      <c r="I44" s="11">
        <f t="shared" si="0"/>
        <v>17072030</v>
      </c>
      <c r="J44" s="29">
        <v>520270</v>
      </c>
      <c r="K44" s="29">
        <f t="shared" si="1"/>
        <v>17592300</v>
      </c>
    </row>
    <row r="45" spans="1:11" ht="12.75">
      <c r="A45" s="9"/>
      <c r="B45" s="7" t="s">
        <v>17</v>
      </c>
      <c r="C45" s="12">
        <f>401600/F45</f>
        <v>1587.3517786561265</v>
      </c>
      <c r="D45" s="12">
        <f>777130/F45</f>
        <v>3071.6600790513835</v>
      </c>
      <c r="E45" s="12">
        <f>144900/F45</f>
        <v>572.7272727272727</v>
      </c>
      <c r="F45" s="12">
        <f>F44</f>
        <v>253</v>
      </c>
      <c r="G45" s="12">
        <f>(C45+D45+E45)</f>
        <v>5231.739130434783</v>
      </c>
      <c r="H45" s="25">
        <v>253</v>
      </c>
      <c r="I45" s="26">
        <f t="shared" si="0"/>
        <v>1323630</v>
      </c>
      <c r="J45" s="32">
        <f>J44</f>
        <v>520270</v>
      </c>
      <c r="K45" s="32">
        <f t="shared" si="1"/>
        <v>1843900</v>
      </c>
    </row>
    <row r="46" spans="1:11" ht="12.75">
      <c r="A46" s="9"/>
      <c r="B46" s="7" t="s">
        <v>147</v>
      </c>
      <c r="C46" s="12">
        <f>15183500/F46</f>
        <v>60013.833992094864</v>
      </c>
      <c r="D46" s="12"/>
      <c r="E46" s="12">
        <f>564900/F46</f>
        <v>2232.806324110672</v>
      </c>
      <c r="F46" s="12">
        <f>F44</f>
        <v>253</v>
      </c>
      <c r="G46" s="12">
        <f>(C46+D46+E46)</f>
        <v>62246.640316205536</v>
      </c>
      <c r="H46" s="25">
        <v>253</v>
      </c>
      <c r="I46" s="26">
        <f t="shared" si="0"/>
        <v>15748400</v>
      </c>
      <c r="J46" s="32"/>
      <c r="K46" s="32">
        <f t="shared" si="1"/>
        <v>15748400</v>
      </c>
    </row>
    <row r="47" spans="1:11" ht="12.75">
      <c r="A47" s="9">
        <v>11</v>
      </c>
      <c r="B47" s="7" t="s">
        <v>35</v>
      </c>
      <c r="C47" s="11">
        <f>C48+C49</f>
        <v>33349.38775510204</v>
      </c>
      <c r="D47" s="11">
        <f>D48+D49</f>
        <v>1555.4112448979593</v>
      </c>
      <c r="E47" s="11">
        <f>E48+E49</f>
        <v>2416.166806122449</v>
      </c>
      <c r="F47" s="11">
        <v>980</v>
      </c>
      <c r="G47" s="11">
        <f>G48+G49</f>
        <v>37320.96580612245</v>
      </c>
      <c r="H47" s="25">
        <v>980</v>
      </c>
      <c r="I47" s="11">
        <f t="shared" si="0"/>
        <v>36574546.489999995</v>
      </c>
      <c r="J47" s="29">
        <v>898078.06</v>
      </c>
      <c r="K47" s="29">
        <f t="shared" si="1"/>
        <v>37472624.55</v>
      </c>
    </row>
    <row r="48" spans="1:11" ht="12.75">
      <c r="A48" s="9"/>
      <c r="B48" s="7" t="s">
        <v>17</v>
      </c>
      <c r="C48" s="12"/>
      <c r="D48" s="12">
        <f>1524303.02/F48</f>
        <v>1555.4112448979593</v>
      </c>
      <c r="E48" s="12">
        <f>192743.47/F48</f>
        <v>196.67701020408163</v>
      </c>
      <c r="F48" s="12">
        <f>F47</f>
        <v>980</v>
      </c>
      <c r="G48" s="12">
        <f>(C48+D48+E48)</f>
        <v>1752.0882551020409</v>
      </c>
      <c r="H48" s="25">
        <v>980</v>
      </c>
      <c r="I48" s="26">
        <f t="shared" si="0"/>
        <v>1717046.49</v>
      </c>
      <c r="J48" s="32">
        <f>J47</f>
        <v>898078.06</v>
      </c>
      <c r="K48" s="32">
        <f t="shared" si="1"/>
        <v>2615124.55</v>
      </c>
    </row>
    <row r="49" spans="1:11" ht="12.75">
      <c r="A49" s="9"/>
      <c r="B49" s="7" t="s">
        <v>147</v>
      </c>
      <c r="C49" s="12">
        <f>32682400/F49</f>
        <v>33349.38775510204</v>
      </c>
      <c r="D49" s="12"/>
      <c r="E49" s="12">
        <f>2175100/F49</f>
        <v>2219.4897959183672</v>
      </c>
      <c r="F49" s="12">
        <f>F47</f>
        <v>980</v>
      </c>
      <c r="G49" s="12">
        <f>(C49+D49+E49)</f>
        <v>35568.87755102041</v>
      </c>
      <c r="H49" s="25">
        <v>980</v>
      </c>
      <c r="I49" s="26">
        <f t="shared" si="0"/>
        <v>34857500</v>
      </c>
      <c r="J49" s="32"/>
      <c r="K49" s="32">
        <f t="shared" si="1"/>
        <v>34857500</v>
      </c>
    </row>
    <row r="50" spans="1:11" ht="12.75">
      <c r="A50" s="9">
        <v>12</v>
      </c>
      <c r="B50" s="7" t="s">
        <v>36</v>
      </c>
      <c r="C50" s="11">
        <f>C51+C52</f>
        <v>39277.916666666664</v>
      </c>
      <c r="D50" s="11">
        <f>D51+D52</f>
        <v>3168.161333333333</v>
      </c>
      <c r="E50" s="11">
        <f>E51+E52</f>
        <v>3259.6333750000003</v>
      </c>
      <c r="F50" s="11">
        <v>240</v>
      </c>
      <c r="G50" s="11">
        <f>G51+G52</f>
        <v>45705.711375</v>
      </c>
      <c r="H50" s="25">
        <v>240</v>
      </c>
      <c r="I50" s="11">
        <f t="shared" si="0"/>
        <v>10969370.73</v>
      </c>
      <c r="J50" s="29">
        <v>590601.44</v>
      </c>
      <c r="K50" s="29">
        <f t="shared" si="1"/>
        <v>11559972.17</v>
      </c>
    </row>
    <row r="51" spans="1:11" ht="12.75">
      <c r="A51" s="9"/>
      <c r="B51" s="7" t="s">
        <v>17</v>
      </c>
      <c r="C51" s="12"/>
      <c r="D51" s="12">
        <f>760358.72/F51</f>
        <v>3168.161333333333</v>
      </c>
      <c r="E51" s="12">
        <f>138912.01/F51</f>
        <v>578.8000416666667</v>
      </c>
      <c r="F51" s="12">
        <f>F50</f>
        <v>240</v>
      </c>
      <c r="G51" s="12">
        <f>(C51+D51+E51)</f>
        <v>3746.961375</v>
      </c>
      <c r="H51" s="25">
        <v>240</v>
      </c>
      <c r="I51" s="26">
        <f t="shared" si="0"/>
        <v>899270.73</v>
      </c>
      <c r="J51" s="32">
        <f>J50</f>
        <v>590601.44</v>
      </c>
      <c r="K51" s="32">
        <f t="shared" si="1"/>
        <v>1489872.17</v>
      </c>
    </row>
    <row r="52" spans="1:11" ht="12.75">
      <c r="A52" s="9"/>
      <c r="B52" s="7" t="s">
        <v>147</v>
      </c>
      <c r="C52" s="12">
        <f>9426700/F52</f>
        <v>39277.916666666664</v>
      </c>
      <c r="D52" s="12"/>
      <c r="E52" s="12">
        <f>643400/F52</f>
        <v>2680.8333333333335</v>
      </c>
      <c r="F52" s="12">
        <f>F50</f>
        <v>240</v>
      </c>
      <c r="G52" s="12">
        <f>(C52+D52+E52)</f>
        <v>41958.75</v>
      </c>
      <c r="H52" s="25">
        <v>240</v>
      </c>
      <c r="I52" s="26">
        <f t="shared" si="0"/>
        <v>10070100</v>
      </c>
      <c r="J52" s="29"/>
      <c r="K52" s="32">
        <f t="shared" si="1"/>
        <v>10070100</v>
      </c>
    </row>
    <row r="53" spans="1:11" ht="12.75">
      <c r="A53" s="9">
        <v>13</v>
      </c>
      <c r="B53" s="7" t="s">
        <v>37</v>
      </c>
      <c r="C53" s="11">
        <f>C54+C55</f>
        <v>30703.125</v>
      </c>
      <c r="D53" s="11">
        <f>D54+D55</f>
        <v>1204.157364864865</v>
      </c>
      <c r="E53" s="11">
        <f>E54+E55</f>
        <v>3336.092652027027</v>
      </c>
      <c r="F53" s="11">
        <v>1184</v>
      </c>
      <c r="G53" s="11">
        <f>G54+G55</f>
        <v>35243.37501689189</v>
      </c>
      <c r="H53" s="25">
        <v>1184</v>
      </c>
      <c r="I53" s="11">
        <f t="shared" si="0"/>
        <v>41728156.02</v>
      </c>
      <c r="J53" s="29">
        <v>965463.88</v>
      </c>
      <c r="K53" s="29">
        <f t="shared" si="1"/>
        <v>42693619.900000006</v>
      </c>
    </row>
    <row r="54" spans="1:11" ht="12.75">
      <c r="A54" s="9"/>
      <c r="B54" s="7" t="s">
        <v>17</v>
      </c>
      <c r="C54" s="12"/>
      <c r="D54" s="12">
        <f>1425722.32/F54</f>
        <v>1204.157364864865</v>
      </c>
      <c r="E54" s="12">
        <f>1345953.7/F54</f>
        <v>1136.7852195945945</v>
      </c>
      <c r="F54" s="12">
        <f>F53</f>
        <v>1184</v>
      </c>
      <c r="G54" s="12">
        <f>(C54+D54+E54)</f>
        <v>2340.94258445946</v>
      </c>
      <c r="H54" s="25">
        <v>1184</v>
      </c>
      <c r="I54" s="26">
        <f t="shared" si="0"/>
        <v>2771676.0200000005</v>
      </c>
      <c r="J54" s="32">
        <f>J53</f>
        <v>965463.88</v>
      </c>
      <c r="K54" s="32">
        <f t="shared" si="1"/>
        <v>3737139.9000000004</v>
      </c>
    </row>
    <row r="55" spans="1:11" ht="12.75">
      <c r="A55" s="9"/>
      <c r="B55" s="7" t="s">
        <v>147</v>
      </c>
      <c r="C55" s="12">
        <f>36352500/F55</f>
        <v>30703.125</v>
      </c>
      <c r="D55" s="12"/>
      <c r="E55" s="12">
        <f>2603980/F55</f>
        <v>2199.3074324324325</v>
      </c>
      <c r="F55" s="12">
        <f>F53</f>
        <v>1184</v>
      </c>
      <c r="G55" s="12">
        <f>(C55+D55+E55)</f>
        <v>32902.43243243243</v>
      </c>
      <c r="H55" s="25">
        <v>1184</v>
      </c>
      <c r="I55" s="26">
        <f t="shared" si="0"/>
        <v>38956480</v>
      </c>
      <c r="J55" s="29"/>
      <c r="K55" s="32">
        <f t="shared" si="1"/>
        <v>38956480</v>
      </c>
    </row>
    <row r="56" spans="1:11" ht="12.75">
      <c r="A56" s="9">
        <v>14</v>
      </c>
      <c r="B56" s="7" t="s">
        <v>39</v>
      </c>
      <c r="C56" s="11">
        <f>C57+C58</f>
        <v>39595.64102564102</v>
      </c>
      <c r="D56" s="11">
        <f>D57+D58</f>
        <v>3076.6801282051283</v>
      </c>
      <c r="E56" s="11">
        <f>E57+E58</f>
        <v>2711.556769230769</v>
      </c>
      <c r="F56" s="11">
        <v>390</v>
      </c>
      <c r="G56" s="11">
        <f>G57+G58</f>
        <v>45383.87792307692</v>
      </c>
      <c r="H56" s="25">
        <v>390</v>
      </c>
      <c r="I56" s="11">
        <f t="shared" si="0"/>
        <v>17699712.39</v>
      </c>
      <c r="J56" s="29">
        <v>793424.32</v>
      </c>
      <c r="K56" s="29">
        <f t="shared" si="1"/>
        <v>18493136.71</v>
      </c>
    </row>
    <row r="57" spans="1:11" ht="12.75">
      <c r="A57" s="9"/>
      <c r="B57" s="7" t="s">
        <v>17</v>
      </c>
      <c r="C57" s="12"/>
      <c r="D57" s="12">
        <f>1199905.25/F57</f>
        <v>3076.6801282051283</v>
      </c>
      <c r="E57" s="12">
        <f>157907.14/F57</f>
        <v>404.8901025641026</v>
      </c>
      <c r="F57" s="12">
        <f>F56</f>
        <v>390</v>
      </c>
      <c r="G57" s="12">
        <f>(C57+D57+E57)</f>
        <v>3481.570230769231</v>
      </c>
      <c r="H57" s="25">
        <v>390</v>
      </c>
      <c r="I57" s="26">
        <f t="shared" si="0"/>
        <v>1357812.3900000001</v>
      </c>
      <c r="J57" s="32">
        <f>J56</f>
        <v>793424.32</v>
      </c>
      <c r="K57" s="32">
        <f t="shared" si="1"/>
        <v>2151236.71</v>
      </c>
    </row>
    <row r="58" spans="1:11" ht="12.75">
      <c r="A58" s="9"/>
      <c r="B58" s="7" t="s">
        <v>147</v>
      </c>
      <c r="C58" s="12">
        <f>15442300/F58</f>
        <v>39595.64102564102</v>
      </c>
      <c r="D58" s="12"/>
      <c r="E58" s="12">
        <f>899600/F58</f>
        <v>2306.6666666666665</v>
      </c>
      <c r="F58" s="12">
        <f>F56</f>
        <v>390</v>
      </c>
      <c r="G58" s="12">
        <f>(C58+D58+E58)</f>
        <v>41902.30769230769</v>
      </c>
      <c r="H58" s="25">
        <v>390</v>
      </c>
      <c r="I58" s="26">
        <f t="shared" si="0"/>
        <v>16341899.999999998</v>
      </c>
      <c r="J58" s="32"/>
      <c r="K58" s="32">
        <f t="shared" si="1"/>
        <v>16341899.999999998</v>
      </c>
    </row>
    <row r="59" spans="1:11" ht="12.75">
      <c r="A59" s="9">
        <v>15</v>
      </c>
      <c r="B59" s="7" t="s">
        <v>38</v>
      </c>
      <c r="C59" s="11">
        <f>C60+C61</f>
        <v>36978.94736842105</v>
      </c>
      <c r="D59" s="11">
        <f>D60+D61</f>
        <v>2111.0639196675897</v>
      </c>
      <c r="E59" s="11">
        <f>E60+E61</f>
        <v>2476.351800554017</v>
      </c>
      <c r="F59" s="11">
        <v>722</v>
      </c>
      <c r="G59" s="11">
        <f>G60+G61</f>
        <v>41566.363088642654</v>
      </c>
      <c r="H59" s="25">
        <v>722</v>
      </c>
      <c r="I59" s="11">
        <f t="shared" si="0"/>
        <v>30010914.149999995</v>
      </c>
      <c r="J59" s="29">
        <v>984932.02</v>
      </c>
      <c r="K59" s="29">
        <f t="shared" si="1"/>
        <v>30995846.169999994</v>
      </c>
    </row>
    <row r="60" spans="1:11" ht="12.75">
      <c r="A60" s="9"/>
      <c r="B60" s="7" t="s">
        <v>17</v>
      </c>
      <c r="C60" s="12"/>
      <c r="D60" s="12">
        <f>1524188.15/F60</f>
        <v>2111.0639196675897</v>
      </c>
      <c r="E60" s="12">
        <f>174826/F60</f>
        <v>242.14127423822714</v>
      </c>
      <c r="F60" s="12">
        <f>F59</f>
        <v>722</v>
      </c>
      <c r="G60" s="12">
        <f>(C60+D60+E60)</f>
        <v>2353.205193905817</v>
      </c>
      <c r="H60" s="25">
        <v>722</v>
      </c>
      <c r="I60" s="26">
        <f t="shared" si="0"/>
        <v>1699014.15</v>
      </c>
      <c r="J60" s="32">
        <f>J59</f>
        <v>984932.02</v>
      </c>
      <c r="K60" s="32">
        <f t="shared" si="1"/>
        <v>2683946.17</v>
      </c>
    </row>
    <row r="61" spans="1:11" ht="12.75">
      <c r="A61" s="9"/>
      <c r="B61" s="7" t="s">
        <v>147</v>
      </c>
      <c r="C61" s="12">
        <f>26698800/F61</f>
        <v>36978.94736842105</v>
      </c>
      <c r="D61" s="12"/>
      <c r="E61" s="12">
        <f>1613100/F61</f>
        <v>2234.2105263157896</v>
      </c>
      <c r="F61" s="12">
        <f>F59</f>
        <v>722</v>
      </c>
      <c r="G61" s="12">
        <f>(C61+D61+E61)</f>
        <v>39213.15789473684</v>
      </c>
      <c r="H61" s="25">
        <v>722</v>
      </c>
      <c r="I61" s="26">
        <f t="shared" si="0"/>
        <v>28311900</v>
      </c>
      <c r="J61" s="32"/>
      <c r="K61" s="32">
        <f t="shared" si="1"/>
        <v>28311900</v>
      </c>
    </row>
    <row r="62" spans="1:11" ht="12.75">
      <c r="A62" s="9">
        <v>16</v>
      </c>
      <c r="B62" s="7" t="s">
        <v>40</v>
      </c>
      <c r="C62" s="11">
        <f>C63+C64</f>
        <v>46639.896373056996</v>
      </c>
      <c r="D62" s="11">
        <f>D63+D64</f>
        <v>7251.850829015544</v>
      </c>
      <c r="E62" s="11">
        <f>E63+E64</f>
        <v>3365.829015544042</v>
      </c>
      <c r="F62" s="11">
        <v>193</v>
      </c>
      <c r="G62" s="11">
        <f>G63+G64</f>
        <v>57257.57621761658</v>
      </c>
      <c r="H62" s="25">
        <v>193</v>
      </c>
      <c r="I62" s="11">
        <f t="shared" si="0"/>
        <v>11050712.21</v>
      </c>
      <c r="J62" s="29">
        <v>985930.02</v>
      </c>
      <c r="K62" s="29">
        <f t="shared" si="1"/>
        <v>12036642.23</v>
      </c>
    </row>
    <row r="63" spans="1:11" ht="12.75">
      <c r="A63" s="9"/>
      <c r="B63" s="7" t="s">
        <v>17</v>
      </c>
      <c r="C63" s="12"/>
      <c r="D63" s="12">
        <f>1399607.21/F63</f>
        <v>7251.850829015544</v>
      </c>
      <c r="E63" s="12">
        <f>162505/F63</f>
        <v>841.9948186528497</v>
      </c>
      <c r="F63" s="12">
        <f>F62</f>
        <v>193</v>
      </c>
      <c r="G63" s="12">
        <f>(C63+D63+E63)</f>
        <v>8093.845647668394</v>
      </c>
      <c r="H63" s="25">
        <v>193</v>
      </c>
      <c r="I63" s="26">
        <f t="shared" si="0"/>
        <v>1562112.21</v>
      </c>
      <c r="J63" s="32">
        <f>J62</f>
        <v>985930.02</v>
      </c>
      <c r="K63" s="32">
        <f t="shared" si="1"/>
        <v>2548042.23</v>
      </c>
    </row>
    <row r="64" spans="1:11" ht="12.75">
      <c r="A64" s="9"/>
      <c r="B64" s="7" t="s">
        <v>147</v>
      </c>
      <c r="C64" s="12">
        <f>9001500/F64</f>
        <v>46639.896373056996</v>
      </c>
      <c r="D64" s="12"/>
      <c r="E64" s="12">
        <f>487100/F64</f>
        <v>2523.834196891192</v>
      </c>
      <c r="F64" s="12">
        <f>F62</f>
        <v>193</v>
      </c>
      <c r="G64" s="12">
        <f>(C64+D64+E64)</f>
        <v>49163.73056994819</v>
      </c>
      <c r="H64" s="25">
        <v>193</v>
      </c>
      <c r="I64" s="26">
        <f t="shared" si="0"/>
        <v>9488600</v>
      </c>
      <c r="J64" s="32"/>
      <c r="K64" s="32">
        <f t="shared" si="1"/>
        <v>9488600</v>
      </c>
    </row>
    <row r="65" spans="1:11" ht="12.75">
      <c r="A65" s="9">
        <v>17</v>
      </c>
      <c r="B65" s="7" t="s">
        <v>41</v>
      </c>
      <c r="C65" s="11">
        <f>C66+C67</f>
        <v>37475.665399239544</v>
      </c>
      <c r="D65" s="11">
        <f>D66+D67</f>
        <v>2268.8198225602027</v>
      </c>
      <c r="E65" s="11">
        <f>E66+E67</f>
        <v>2193.8633840304183</v>
      </c>
      <c r="F65" s="11">
        <v>789</v>
      </c>
      <c r="G65" s="11">
        <f>G66+G67</f>
        <v>41938.34860583017</v>
      </c>
      <c r="H65" s="25">
        <v>789</v>
      </c>
      <c r="I65" s="11">
        <f t="shared" si="0"/>
        <v>33089357.050000004</v>
      </c>
      <c r="J65" s="29">
        <v>1102560.9</v>
      </c>
      <c r="K65" s="29">
        <f t="shared" si="1"/>
        <v>34191917.95</v>
      </c>
    </row>
    <row r="66" spans="1:11" ht="12.75">
      <c r="A66" s="9"/>
      <c r="B66" s="7" t="s">
        <v>17</v>
      </c>
      <c r="C66" s="12"/>
      <c r="D66" s="12">
        <f>1790098.84/F66</f>
        <v>2268.8198225602027</v>
      </c>
      <c r="E66" s="12">
        <f>222758.21/F66</f>
        <v>282.3297972116603</v>
      </c>
      <c r="F66" s="12">
        <f>F65</f>
        <v>789</v>
      </c>
      <c r="G66" s="12">
        <f>(C66+D66+E66)</f>
        <v>2551.149619771863</v>
      </c>
      <c r="H66" s="25">
        <v>789</v>
      </c>
      <c r="I66" s="26">
        <f t="shared" si="0"/>
        <v>2012857.0499999998</v>
      </c>
      <c r="J66" s="32">
        <f>J65</f>
        <v>1102560.9</v>
      </c>
      <c r="K66" s="32">
        <f t="shared" si="1"/>
        <v>3115417.9499999997</v>
      </c>
    </row>
    <row r="67" spans="1:11" ht="12.75">
      <c r="A67" s="9"/>
      <c r="B67" s="7" t="s">
        <v>147</v>
      </c>
      <c r="C67" s="12">
        <f>29568300/F67</f>
        <v>37475.665399239544</v>
      </c>
      <c r="D67" s="12"/>
      <c r="E67" s="12">
        <f>1508200/F67</f>
        <v>1911.5335868187578</v>
      </c>
      <c r="F67" s="12">
        <f>F65</f>
        <v>789</v>
      </c>
      <c r="G67" s="12">
        <f>(C67+D67+E67)</f>
        <v>39387.198986058305</v>
      </c>
      <c r="H67" s="25">
        <v>789</v>
      </c>
      <c r="I67" s="26">
        <f t="shared" si="0"/>
        <v>31076500.000000004</v>
      </c>
      <c r="J67" s="32"/>
      <c r="K67" s="32">
        <f t="shared" si="1"/>
        <v>31076500.000000004</v>
      </c>
    </row>
    <row r="68" spans="1:11" ht="12.75">
      <c r="A68" s="9">
        <v>18</v>
      </c>
      <c r="B68" s="7" t="s">
        <v>42</v>
      </c>
      <c r="C68" s="11">
        <f>C69+C70</f>
        <v>37024.11214953271</v>
      </c>
      <c r="D68" s="11">
        <f>D69+D70</f>
        <v>2492.4042803738316</v>
      </c>
      <c r="E68" s="11">
        <f>E69+E70</f>
        <v>3612.649626168224</v>
      </c>
      <c r="F68" s="11">
        <v>535</v>
      </c>
      <c r="G68" s="11">
        <f>G69+G70</f>
        <v>43129.16605607477</v>
      </c>
      <c r="H68" s="25">
        <v>535</v>
      </c>
      <c r="I68" s="11">
        <f t="shared" si="0"/>
        <v>23074103.840000004</v>
      </c>
      <c r="J68" s="29">
        <v>1025648.48</v>
      </c>
      <c r="K68" s="29">
        <f t="shared" si="1"/>
        <v>24099752.320000004</v>
      </c>
    </row>
    <row r="69" spans="1:11" ht="12.75">
      <c r="A69" s="9"/>
      <c r="B69" s="7" t="s">
        <v>17</v>
      </c>
      <c r="C69" s="12"/>
      <c r="D69" s="12">
        <f>1333436.29/F69</f>
        <v>2492.4042803738316</v>
      </c>
      <c r="E69" s="12">
        <f>719486.55/F69</f>
        <v>1344.8346728971962</v>
      </c>
      <c r="F69" s="12">
        <f>F68</f>
        <v>535</v>
      </c>
      <c r="G69" s="12">
        <f>(C69+D69+E69)</f>
        <v>3837.2389532710276</v>
      </c>
      <c r="H69" s="25">
        <v>535</v>
      </c>
      <c r="I69" s="26">
        <f t="shared" si="0"/>
        <v>2052922.8399999999</v>
      </c>
      <c r="J69" s="32">
        <f>J68</f>
        <v>1025648.48</v>
      </c>
      <c r="K69" s="32">
        <f t="shared" si="1"/>
        <v>3078571.32</v>
      </c>
    </row>
    <row r="70" spans="1:11" ht="12.75">
      <c r="A70" s="9"/>
      <c r="B70" s="7" t="s">
        <v>147</v>
      </c>
      <c r="C70" s="12">
        <f>19807900/F70</f>
        <v>37024.11214953271</v>
      </c>
      <c r="D70" s="12"/>
      <c r="E70" s="12">
        <f>1213281/F70</f>
        <v>2267.814953271028</v>
      </c>
      <c r="F70" s="12">
        <f>F68</f>
        <v>535</v>
      </c>
      <c r="G70" s="12">
        <f>(C70+D70+E70)</f>
        <v>39291.92710280374</v>
      </c>
      <c r="H70" s="25">
        <v>535</v>
      </c>
      <c r="I70" s="26">
        <f t="shared" si="0"/>
        <v>21021181</v>
      </c>
      <c r="J70" s="32"/>
      <c r="K70" s="32">
        <f t="shared" si="1"/>
        <v>21021181</v>
      </c>
    </row>
    <row r="71" spans="1:11" ht="12.75">
      <c r="A71" s="9">
        <v>19</v>
      </c>
      <c r="B71" s="7" t="s">
        <v>43</v>
      </c>
      <c r="C71" s="11">
        <f>C72+C73</f>
        <v>29236.471754212092</v>
      </c>
      <c r="D71" s="11">
        <f>D72+D73</f>
        <v>1098.0644301288405</v>
      </c>
      <c r="E71" s="11">
        <f>E72+E73</f>
        <v>2483.697006937562</v>
      </c>
      <c r="F71" s="11">
        <v>1009</v>
      </c>
      <c r="G71" s="11">
        <f>G72+G73</f>
        <v>32818.233191278494</v>
      </c>
      <c r="H71" s="25">
        <v>1009</v>
      </c>
      <c r="I71" s="11">
        <f t="shared" si="0"/>
        <v>33113597.29</v>
      </c>
      <c r="J71" s="29">
        <v>931602.39</v>
      </c>
      <c r="K71" s="29">
        <f t="shared" si="1"/>
        <v>34045199.68</v>
      </c>
    </row>
    <row r="72" spans="1:11" ht="12.75">
      <c r="A72" s="9"/>
      <c r="B72" s="7" t="s">
        <v>17</v>
      </c>
      <c r="C72" s="12"/>
      <c r="D72" s="12">
        <f>1107947.01/F72</f>
        <v>1098.0644301288405</v>
      </c>
      <c r="E72" s="12">
        <f>180850.28/F72</f>
        <v>179.23714568880078</v>
      </c>
      <c r="F72" s="12">
        <f>F71</f>
        <v>1009</v>
      </c>
      <c r="G72" s="12">
        <f>(C72+D72+E72)</f>
        <v>1277.3015758176414</v>
      </c>
      <c r="H72" s="25">
        <v>1009</v>
      </c>
      <c r="I72" s="26">
        <f t="shared" si="0"/>
        <v>1288797.29</v>
      </c>
      <c r="J72" s="32">
        <f>J71</f>
        <v>931602.39</v>
      </c>
      <c r="K72" s="32">
        <f t="shared" si="1"/>
        <v>2220399.68</v>
      </c>
    </row>
    <row r="73" spans="1:11" ht="12.75">
      <c r="A73" s="9"/>
      <c r="B73" s="7" t="s">
        <v>147</v>
      </c>
      <c r="C73" s="12">
        <f>29499600/F73</f>
        <v>29236.471754212092</v>
      </c>
      <c r="D73" s="12"/>
      <c r="E73" s="12">
        <f>2325200/F73</f>
        <v>2304.459861248761</v>
      </c>
      <c r="F73" s="12">
        <f>F71</f>
        <v>1009</v>
      </c>
      <c r="G73" s="12">
        <f>(C73+D73+E73)</f>
        <v>31540.931615460853</v>
      </c>
      <c r="H73" s="25">
        <v>1009</v>
      </c>
      <c r="I73" s="26">
        <f t="shared" si="0"/>
        <v>31824800</v>
      </c>
      <c r="J73" s="32"/>
      <c r="K73" s="32">
        <f t="shared" si="1"/>
        <v>31824800</v>
      </c>
    </row>
    <row r="74" spans="1:11" ht="12.75">
      <c r="A74" s="9">
        <v>20</v>
      </c>
      <c r="B74" s="7" t="s">
        <v>44</v>
      </c>
      <c r="C74" s="11">
        <f>C75+C76</f>
        <v>35945.51282051282</v>
      </c>
      <c r="D74" s="11">
        <f>D75+D76</f>
        <v>1579.571858974359</v>
      </c>
      <c r="E74" s="11">
        <f>E75+E76</f>
        <v>2804.708846153846</v>
      </c>
      <c r="F74" s="11">
        <v>312</v>
      </c>
      <c r="G74" s="11">
        <f>G75+G76</f>
        <v>40329.79352564102</v>
      </c>
      <c r="H74" s="25">
        <v>312</v>
      </c>
      <c r="I74" s="11">
        <f t="shared" si="0"/>
        <v>12582895.579999998</v>
      </c>
      <c r="J74" s="29">
        <v>333059.31</v>
      </c>
      <c r="K74" s="29">
        <f t="shared" si="1"/>
        <v>12915954.889999999</v>
      </c>
    </row>
    <row r="75" spans="1:11" ht="12.75">
      <c r="A75" s="9"/>
      <c r="B75" s="7" t="s">
        <v>17</v>
      </c>
      <c r="C75" s="12"/>
      <c r="D75" s="12">
        <f>492826.42/F75</f>
        <v>1579.571858974359</v>
      </c>
      <c r="E75" s="12">
        <f>160535.56/F75</f>
        <v>514.5370512820513</v>
      </c>
      <c r="F75" s="12">
        <f>F74</f>
        <v>312</v>
      </c>
      <c r="G75" s="12">
        <f>(C75+D75+E75)</f>
        <v>2094.10891025641</v>
      </c>
      <c r="H75" s="25">
        <v>312</v>
      </c>
      <c r="I75" s="26">
        <f t="shared" si="0"/>
        <v>653361.98</v>
      </c>
      <c r="J75" s="32">
        <f>J74</f>
        <v>333059.31</v>
      </c>
      <c r="K75" s="32">
        <f t="shared" si="1"/>
        <v>986421.29</v>
      </c>
    </row>
    <row r="76" spans="1:11" ht="12.75">
      <c r="A76" s="9"/>
      <c r="B76" s="7" t="s">
        <v>147</v>
      </c>
      <c r="C76" s="12">
        <f>11215000/F76</f>
        <v>35945.51282051282</v>
      </c>
      <c r="D76" s="12"/>
      <c r="E76" s="12">
        <f>714533.6/F76</f>
        <v>2290.1717948717946</v>
      </c>
      <c r="F76" s="12">
        <f>F74</f>
        <v>312</v>
      </c>
      <c r="G76" s="12">
        <f>(C76+D76+E76)</f>
        <v>38235.68461538461</v>
      </c>
      <c r="H76" s="25">
        <v>312</v>
      </c>
      <c r="I76" s="26">
        <f t="shared" si="0"/>
        <v>11929533.6</v>
      </c>
      <c r="J76" s="29"/>
      <c r="K76" s="32">
        <f t="shared" si="1"/>
        <v>11929533.6</v>
      </c>
    </row>
    <row r="77" spans="1:11" ht="12.75">
      <c r="A77" s="9">
        <v>21</v>
      </c>
      <c r="B77" s="7" t="s">
        <v>45</v>
      </c>
      <c r="C77" s="11">
        <f>C78+C79</f>
        <v>58904.545454545456</v>
      </c>
      <c r="D77" s="11">
        <f>D78+D79</f>
        <v>4445.604147727273</v>
      </c>
      <c r="E77" s="11">
        <f>E78+E79</f>
        <v>3736.303295454545</v>
      </c>
      <c r="F77" s="11">
        <v>176</v>
      </c>
      <c r="G77" s="11">
        <f>G78+G79</f>
        <v>67086.45289772727</v>
      </c>
      <c r="H77" s="25">
        <v>176</v>
      </c>
      <c r="I77" s="11">
        <f t="shared" si="0"/>
        <v>11807215.709999999</v>
      </c>
      <c r="J77" s="29">
        <v>604398.47</v>
      </c>
      <c r="K77" s="29">
        <f t="shared" si="1"/>
        <v>12411614.18</v>
      </c>
    </row>
    <row r="78" spans="1:11" ht="12.75">
      <c r="A78" s="9"/>
      <c r="B78" s="7" t="s">
        <v>17</v>
      </c>
      <c r="C78" s="12"/>
      <c r="D78" s="12">
        <f>782426.33/F78</f>
        <v>4445.604147727273</v>
      </c>
      <c r="E78" s="12">
        <f>255089.38/F78</f>
        <v>1449.3714772727274</v>
      </c>
      <c r="F78" s="12">
        <f>F77</f>
        <v>176</v>
      </c>
      <c r="G78" s="12">
        <f>(C78+D78+E78)</f>
        <v>5894.975625</v>
      </c>
      <c r="H78" s="25">
        <v>176</v>
      </c>
      <c r="I78" s="26">
        <f t="shared" si="0"/>
        <v>1037515.71</v>
      </c>
      <c r="J78" s="32">
        <f>J77</f>
        <v>604398.47</v>
      </c>
      <c r="K78" s="32">
        <f t="shared" si="1"/>
        <v>1641914.18</v>
      </c>
    </row>
    <row r="79" spans="1:11" ht="12.75">
      <c r="A79" s="9"/>
      <c r="B79" s="7" t="s">
        <v>147</v>
      </c>
      <c r="C79" s="12">
        <f>10367200/F79</f>
        <v>58904.545454545456</v>
      </c>
      <c r="D79" s="12"/>
      <c r="E79" s="12">
        <f>402500/F79</f>
        <v>2286.931818181818</v>
      </c>
      <c r="F79" s="12">
        <f>F77</f>
        <v>176</v>
      </c>
      <c r="G79" s="12">
        <f>(C79+D79+E79)</f>
        <v>61191.47727272727</v>
      </c>
      <c r="H79" s="25">
        <v>176</v>
      </c>
      <c r="I79" s="26">
        <f t="shared" si="0"/>
        <v>10769700</v>
      </c>
      <c r="J79" s="29"/>
      <c r="K79" s="32">
        <f t="shared" si="1"/>
        <v>10769700</v>
      </c>
    </row>
    <row r="80" spans="1:11" ht="12.75">
      <c r="A80" s="9">
        <v>22</v>
      </c>
      <c r="B80" s="7" t="s">
        <v>46</v>
      </c>
      <c r="C80" s="11">
        <f>C81+C82</f>
        <v>51870.56277056277</v>
      </c>
      <c r="D80" s="11">
        <f>D81+D82</f>
        <v>1710.047215007215</v>
      </c>
      <c r="E80" s="11">
        <f>E81+E82</f>
        <v>5445.570187590188</v>
      </c>
      <c r="F80" s="11">
        <v>693</v>
      </c>
      <c r="G80" s="11">
        <f>G81+G82</f>
        <v>59026.18017316017</v>
      </c>
      <c r="H80" s="25">
        <v>693</v>
      </c>
      <c r="I80" s="11">
        <f t="shared" si="0"/>
        <v>40905142.86</v>
      </c>
      <c r="J80" s="29">
        <v>834918.08</v>
      </c>
      <c r="K80" s="29">
        <f t="shared" si="1"/>
        <v>41740060.94</v>
      </c>
    </row>
    <row r="81" spans="1:11" ht="12.75">
      <c r="A81" s="9"/>
      <c r="B81" s="7" t="s">
        <v>17</v>
      </c>
      <c r="C81" s="12"/>
      <c r="D81" s="12">
        <f>1185062.72/F81</f>
        <v>1710.047215007215</v>
      </c>
      <c r="E81" s="12">
        <f>2250180.14/F81</f>
        <v>3247.013189033189</v>
      </c>
      <c r="F81" s="12">
        <f>F80</f>
        <v>693</v>
      </c>
      <c r="G81" s="12">
        <f>(C81+D81+E81)</f>
        <v>4957.060404040404</v>
      </c>
      <c r="H81" s="25">
        <v>693</v>
      </c>
      <c r="I81" s="26">
        <f t="shared" si="0"/>
        <v>3435242.86</v>
      </c>
      <c r="J81" s="32">
        <f>J80</f>
        <v>834918.08</v>
      </c>
      <c r="K81" s="32">
        <f t="shared" si="1"/>
        <v>4270160.9399999995</v>
      </c>
    </row>
    <row r="82" spans="1:11" ht="12.75">
      <c r="A82" s="9"/>
      <c r="B82" s="7" t="s">
        <v>147</v>
      </c>
      <c r="C82" s="12">
        <f>35946300/F82</f>
        <v>51870.56277056277</v>
      </c>
      <c r="D82" s="12"/>
      <c r="E82" s="12">
        <f>1523600/F82</f>
        <v>2198.5569985569987</v>
      </c>
      <c r="F82" s="12">
        <f>F80</f>
        <v>693</v>
      </c>
      <c r="G82" s="12">
        <f>(C82+D82+E82)</f>
        <v>54069.11976911977</v>
      </c>
      <c r="H82" s="25">
        <v>693</v>
      </c>
      <c r="I82" s="26">
        <f aca="true" t="shared" si="2" ref="I82:I145">G82*H82</f>
        <v>37469900</v>
      </c>
      <c r="J82" s="32"/>
      <c r="K82" s="32">
        <f aca="true" t="shared" si="3" ref="K82:K145">I82+J82</f>
        <v>37469900</v>
      </c>
    </row>
    <row r="83" spans="1:11" ht="12.75">
      <c r="A83" s="9">
        <v>23</v>
      </c>
      <c r="B83" s="7" t="s">
        <v>47</v>
      </c>
      <c r="C83" s="11">
        <f>C84+C85</f>
        <v>67611.88118811882</v>
      </c>
      <c r="D83" s="11">
        <f>D84+D85</f>
        <v>9528.497326732673</v>
      </c>
      <c r="E83" s="11">
        <f>E84+E85</f>
        <v>3756.9575742574257</v>
      </c>
      <c r="F83" s="11">
        <v>202</v>
      </c>
      <c r="G83" s="11">
        <f>G84+G85</f>
        <v>80897.33608910893</v>
      </c>
      <c r="H83" s="25">
        <v>202</v>
      </c>
      <c r="I83" s="11">
        <f t="shared" si="2"/>
        <v>16341261.890000002</v>
      </c>
      <c r="J83" s="29">
        <v>1482041.5</v>
      </c>
      <c r="K83" s="29">
        <f t="shared" si="3"/>
        <v>17823303.39</v>
      </c>
    </row>
    <row r="84" spans="1:11" ht="12.75">
      <c r="A84" s="9"/>
      <c r="B84" s="7" t="s">
        <v>17</v>
      </c>
      <c r="C84" s="12"/>
      <c r="D84" s="12">
        <f>1924756.46/F84</f>
        <v>9528.497326732673</v>
      </c>
      <c r="E84" s="12">
        <f>131105.43/F84</f>
        <v>649.0367821782178</v>
      </c>
      <c r="F84" s="12">
        <f>F83</f>
        <v>202</v>
      </c>
      <c r="G84" s="12">
        <f>(C84+D84+E84)</f>
        <v>10177.534108910892</v>
      </c>
      <c r="H84" s="25">
        <v>202</v>
      </c>
      <c r="I84" s="26">
        <f t="shared" si="2"/>
        <v>2055861.8900000001</v>
      </c>
      <c r="J84" s="32">
        <f>J83</f>
        <v>1482041.5</v>
      </c>
      <c r="K84" s="32">
        <f t="shared" si="3"/>
        <v>3537903.39</v>
      </c>
    </row>
    <row r="85" spans="1:11" ht="12.75">
      <c r="A85" s="9"/>
      <c r="B85" s="7" t="s">
        <v>147</v>
      </c>
      <c r="C85" s="12">
        <f>13657600/F85</f>
        <v>67611.88118811882</v>
      </c>
      <c r="D85" s="12"/>
      <c r="E85" s="12">
        <f>627800/F85</f>
        <v>3107.920792079208</v>
      </c>
      <c r="F85" s="12">
        <f>F83</f>
        <v>202</v>
      </c>
      <c r="G85" s="12">
        <f>(C85+D85+E85)</f>
        <v>70719.80198019803</v>
      </c>
      <c r="H85" s="25">
        <v>202</v>
      </c>
      <c r="I85" s="26">
        <f t="shared" si="2"/>
        <v>14285400.000000002</v>
      </c>
      <c r="J85" s="32"/>
      <c r="K85" s="32">
        <f t="shared" si="3"/>
        <v>14285400.000000002</v>
      </c>
    </row>
    <row r="86" spans="1:11" ht="12.75">
      <c r="A86" s="9">
        <v>24</v>
      </c>
      <c r="B86" s="7" t="s">
        <v>48</v>
      </c>
      <c r="C86" s="11">
        <f>C87+C88</f>
        <v>57761.48409893993</v>
      </c>
      <c r="D86" s="11">
        <f>D87+D88</f>
        <v>3230.2217667844525</v>
      </c>
      <c r="E86" s="11">
        <f>E87+E88</f>
        <v>2664.8371731448765</v>
      </c>
      <c r="F86" s="11">
        <v>283</v>
      </c>
      <c r="G86" s="11">
        <f>G87+G88</f>
        <v>63656.54303886926</v>
      </c>
      <c r="H86" s="25">
        <v>283</v>
      </c>
      <c r="I86" s="11">
        <f t="shared" si="2"/>
        <v>18014801.68</v>
      </c>
      <c r="J86" s="29">
        <v>719550.31</v>
      </c>
      <c r="K86" s="29">
        <f t="shared" si="3"/>
        <v>18734351.99</v>
      </c>
    </row>
    <row r="87" spans="1:11" ht="12.75">
      <c r="A87" s="9"/>
      <c r="B87" s="7" t="s">
        <v>17</v>
      </c>
      <c r="C87" s="12"/>
      <c r="D87" s="12">
        <f>914152.76/F87</f>
        <v>3230.2217667844525</v>
      </c>
      <c r="E87" s="12">
        <f>212048.92/F87</f>
        <v>749.2894699646644</v>
      </c>
      <c r="F87" s="12">
        <f>F86</f>
        <v>283</v>
      </c>
      <c r="G87" s="12">
        <f>(C87+D87+E87)</f>
        <v>3979.511236749117</v>
      </c>
      <c r="H87" s="25">
        <v>283</v>
      </c>
      <c r="I87" s="26">
        <f t="shared" si="2"/>
        <v>1126201.6800000002</v>
      </c>
      <c r="J87" s="32">
        <f>J86</f>
        <v>719550.31</v>
      </c>
      <c r="K87" s="32">
        <f t="shared" si="3"/>
        <v>1845751.9900000002</v>
      </c>
    </row>
    <row r="88" spans="1:11" ht="12.75">
      <c r="A88" s="9"/>
      <c r="B88" s="7" t="s">
        <v>147</v>
      </c>
      <c r="C88" s="12">
        <f>16346500/F88</f>
        <v>57761.48409893993</v>
      </c>
      <c r="D88" s="12"/>
      <c r="E88" s="12">
        <f>542100/F88</f>
        <v>1915.547703180212</v>
      </c>
      <c r="F88" s="12">
        <f>F86</f>
        <v>283</v>
      </c>
      <c r="G88" s="12">
        <f>(C88+D88+E88)</f>
        <v>59677.031802120146</v>
      </c>
      <c r="H88" s="25">
        <v>283</v>
      </c>
      <c r="I88" s="26">
        <f t="shared" si="2"/>
        <v>16888600</v>
      </c>
      <c r="J88" s="32"/>
      <c r="K88" s="32">
        <f t="shared" si="3"/>
        <v>16888600</v>
      </c>
    </row>
    <row r="89" spans="1:11" ht="12.75">
      <c r="A89" s="9">
        <v>25</v>
      </c>
      <c r="B89" s="7" t="s">
        <v>49</v>
      </c>
      <c r="C89" s="11">
        <f>C90+C91</f>
        <v>57658.620689655174</v>
      </c>
      <c r="D89" s="11">
        <f>D90+D91</f>
        <v>3002.405517241379</v>
      </c>
      <c r="E89" s="11">
        <f>E90+E91</f>
        <v>5474.379252873563</v>
      </c>
      <c r="F89" s="11">
        <v>174</v>
      </c>
      <c r="G89" s="11">
        <f>G90+G91</f>
        <v>66135.40545977012</v>
      </c>
      <c r="H89" s="25">
        <v>174</v>
      </c>
      <c r="I89" s="11">
        <f t="shared" si="2"/>
        <v>11507560.55</v>
      </c>
      <c r="J89" s="29">
        <v>286368.73</v>
      </c>
      <c r="K89" s="29">
        <f t="shared" si="3"/>
        <v>11793929.280000001</v>
      </c>
    </row>
    <row r="90" spans="1:11" ht="12.75">
      <c r="A90" s="9"/>
      <c r="B90" s="7" t="s">
        <v>17</v>
      </c>
      <c r="C90" s="12"/>
      <c r="D90" s="12">
        <f>522418.56/F90</f>
        <v>3002.405517241379</v>
      </c>
      <c r="E90" s="12">
        <f>526777/F90</f>
        <v>3027.4540229885056</v>
      </c>
      <c r="F90" s="12">
        <f>F89</f>
        <v>174</v>
      </c>
      <c r="G90" s="12">
        <f>(C90+D90+E90)</f>
        <v>6029.859540229885</v>
      </c>
      <c r="H90" s="25">
        <v>174</v>
      </c>
      <c r="I90" s="26">
        <f t="shared" si="2"/>
        <v>1049195.56</v>
      </c>
      <c r="J90" s="32">
        <f>J89</f>
        <v>286368.73</v>
      </c>
      <c r="K90" s="32">
        <f t="shared" si="3"/>
        <v>1335564.29</v>
      </c>
    </row>
    <row r="91" spans="1:11" ht="12.75">
      <c r="A91" s="9"/>
      <c r="B91" s="7" t="s">
        <v>147</v>
      </c>
      <c r="C91" s="12">
        <f>10032600/F91</f>
        <v>57658.620689655174</v>
      </c>
      <c r="D91" s="12"/>
      <c r="E91" s="12">
        <f>425764.99/F91</f>
        <v>2446.9252298850574</v>
      </c>
      <c r="F91" s="12">
        <f>F89</f>
        <v>174</v>
      </c>
      <c r="G91" s="12">
        <f>(C91+D91+E91)</f>
        <v>60105.54591954023</v>
      </c>
      <c r="H91" s="25">
        <v>174</v>
      </c>
      <c r="I91" s="26">
        <f t="shared" si="2"/>
        <v>10458364.99</v>
      </c>
      <c r="J91" s="29"/>
      <c r="K91" s="32">
        <f t="shared" si="3"/>
        <v>10458364.99</v>
      </c>
    </row>
    <row r="92" spans="1:11" ht="12.75">
      <c r="A92" s="9">
        <v>26</v>
      </c>
      <c r="B92" s="7" t="s">
        <v>50</v>
      </c>
      <c r="C92" s="11">
        <f>C93+C94</f>
        <v>38749.45567651633</v>
      </c>
      <c r="D92" s="11">
        <f>D93+D94</f>
        <v>3288.698149300156</v>
      </c>
      <c r="E92" s="11">
        <f>E93+E94</f>
        <v>2735.4439813374806</v>
      </c>
      <c r="F92" s="11">
        <v>643</v>
      </c>
      <c r="G92" s="11">
        <f>G93+G94</f>
        <v>44773.59780715397</v>
      </c>
      <c r="H92" s="25">
        <v>643</v>
      </c>
      <c r="I92" s="11">
        <f t="shared" si="2"/>
        <v>28789423.390000004</v>
      </c>
      <c r="J92" s="29">
        <v>1264937.01</v>
      </c>
      <c r="K92" s="29">
        <f t="shared" si="3"/>
        <v>30054360.400000006</v>
      </c>
    </row>
    <row r="93" spans="1:11" ht="12.75">
      <c r="A93" s="9"/>
      <c r="B93" s="7" t="s">
        <v>17</v>
      </c>
      <c r="C93" s="12"/>
      <c r="D93" s="12">
        <f>2114632.91/F93</f>
        <v>3288.698149300156</v>
      </c>
      <c r="E93" s="12">
        <f>316990.48/F93</f>
        <v>492.98674961119747</v>
      </c>
      <c r="F93" s="12">
        <f>F92</f>
        <v>643</v>
      </c>
      <c r="G93" s="12">
        <f>(C93+D93+E93)</f>
        <v>3781.6848989113532</v>
      </c>
      <c r="H93" s="25">
        <v>643</v>
      </c>
      <c r="I93" s="26">
        <f t="shared" si="2"/>
        <v>2431623.39</v>
      </c>
      <c r="J93" s="32">
        <f>J92</f>
        <v>1264937.01</v>
      </c>
      <c r="K93" s="32">
        <f t="shared" si="3"/>
        <v>3696560.4000000004</v>
      </c>
    </row>
    <row r="94" spans="1:11" ht="12.75">
      <c r="A94" s="9"/>
      <c r="B94" s="7" t="s">
        <v>147</v>
      </c>
      <c r="C94" s="12">
        <f>24915900/F94</f>
        <v>38749.45567651633</v>
      </c>
      <c r="D94" s="12"/>
      <c r="E94" s="12">
        <f>1441900/F94</f>
        <v>2242.457231726283</v>
      </c>
      <c r="F94" s="12">
        <f>F92</f>
        <v>643</v>
      </c>
      <c r="G94" s="12">
        <f>(C94+D94+E94)</f>
        <v>40991.912908242615</v>
      </c>
      <c r="H94" s="25">
        <v>643</v>
      </c>
      <c r="I94" s="26">
        <f t="shared" si="2"/>
        <v>26357800</v>
      </c>
      <c r="J94" s="29"/>
      <c r="K94" s="32">
        <f t="shared" si="3"/>
        <v>26357800</v>
      </c>
    </row>
    <row r="95" spans="1:11" ht="12.75">
      <c r="A95" s="9">
        <v>27</v>
      </c>
      <c r="B95" s="7" t="s">
        <v>51</v>
      </c>
      <c r="C95" s="11">
        <f>C96+C97</f>
        <v>24648.526077097507</v>
      </c>
      <c r="D95" s="11">
        <f>D96+D97</f>
        <v>1274.97820861678</v>
      </c>
      <c r="E95" s="11">
        <f>E96+E97</f>
        <v>3032.268027210884</v>
      </c>
      <c r="F95" s="11">
        <v>441</v>
      </c>
      <c r="G95" s="11">
        <f>G96+G97</f>
        <v>28955.77231292517</v>
      </c>
      <c r="H95" s="25">
        <v>441</v>
      </c>
      <c r="I95" s="11">
        <f t="shared" si="2"/>
        <v>12769495.59</v>
      </c>
      <c r="J95" s="29">
        <v>403451.71</v>
      </c>
      <c r="K95" s="29">
        <f t="shared" si="3"/>
        <v>13172947.3</v>
      </c>
    </row>
    <row r="96" spans="1:11" ht="12.75">
      <c r="A96" s="9"/>
      <c r="B96" s="7" t="s">
        <v>17</v>
      </c>
      <c r="C96" s="12"/>
      <c r="D96" s="12">
        <f>562265.39/F96</f>
        <v>1274.97820861678</v>
      </c>
      <c r="E96" s="12">
        <f>137530.2/F96</f>
        <v>311.85986394557824</v>
      </c>
      <c r="F96" s="12">
        <f>F95</f>
        <v>441</v>
      </c>
      <c r="G96" s="12">
        <f>(C96+D96+E96)</f>
        <v>1586.8380725623583</v>
      </c>
      <c r="H96" s="25">
        <v>441</v>
      </c>
      <c r="I96" s="26">
        <f t="shared" si="2"/>
        <v>699795.59</v>
      </c>
      <c r="J96" s="32">
        <f>J95</f>
        <v>403451.71</v>
      </c>
      <c r="K96" s="32">
        <f t="shared" si="3"/>
        <v>1103247.3</v>
      </c>
    </row>
    <row r="97" spans="1:11" ht="12.75">
      <c r="A97" s="9"/>
      <c r="B97" s="7" t="s">
        <v>147</v>
      </c>
      <c r="C97" s="12">
        <f>10870000/F97</f>
        <v>24648.526077097507</v>
      </c>
      <c r="D97" s="12"/>
      <c r="E97" s="12">
        <f>1199700/F97</f>
        <v>2720.408163265306</v>
      </c>
      <c r="F97" s="12">
        <f>F95</f>
        <v>441</v>
      </c>
      <c r="G97" s="12">
        <f>(C97+D97+E97)</f>
        <v>27368.934240362814</v>
      </c>
      <c r="H97" s="25">
        <v>441</v>
      </c>
      <c r="I97" s="26">
        <f t="shared" si="2"/>
        <v>12069700.000000002</v>
      </c>
      <c r="J97" s="32"/>
      <c r="K97" s="32">
        <f t="shared" si="3"/>
        <v>12069700.000000002</v>
      </c>
    </row>
    <row r="98" spans="1:11" ht="12.75">
      <c r="A98" s="9">
        <v>28</v>
      </c>
      <c r="B98" s="7" t="s">
        <v>52</v>
      </c>
      <c r="C98" s="11">
        <f>C99+C100</f>
        <v>34147.92592592593</v>
      </c>
      <c r="D98" s="11">
        <f>D99+D100</f>
        <v>2358.455185185185</v>
      </c>
      <c r="E98" s="11">
        <f>E99+E100</f>
        <v>2607.214185185185</v>
      </c>
      <c r="F98" s="11">
        <v>540</v>
      </c>
      <c r="G98" s="11">
        <f>G99+G100</f>
        <v>39113.5952962963</v>
      </c>
      <c r="H98" s="25">
        <v>540</v>
      </c>
      <c r="I98" s="11">
        <f t="shared" si="2"/>
        <v>21121341.46</v>
      </c>
      <c r="J98" s="29">
        <v>898731.25</v>
      </c>
      <c r="K98" s="29">
        <f t="shared" si="3"/>
        <v>22020072.71</v>
      </c>
    </row>
    <row r="99" spans="1:11" ht="12.75">
      <c r="A99" s="9"/>
      <c r="B99" s="7" t="s">
        <v>17</v>
      </c>
      <c r="C99" s="12">
        <f>26080/F99</f>
        <v>48.2962962962963</v>
      </c>
      <c r="D99" s="12">
        <f>1273565.8/F99</f>
        <v>2358.455185185185</v>
      </c>
      <c r="E99" s="12">
        <f>169795.66/F99</f>
        <v>314.4364074074074</v>
      </c>
      <c r="F99" s="12">
        <f>F98</f>
        <v>540</v>
      </c>
      <c r="G99" s="12">
        <f>(C99+D99+E99)</f>
        <v>2721.1878888888887</v>
      </c>
      <c r="H99" s="25">
        <v>540</v>
      </c>
      <c r="I99" s="26">
        <f t="shared" si="2"/>
        <v>1469441.46</v>
      </c>
      <c r="J99" s="32">
        <f>J98</f>
        <v>898731.25</v>
      </c>
      <c r="K99" s="32">
        <f t="shared" si="3"/>
        <v>2368172.71</v>
      </c>
    </row>
    <row r="100" spans="1:11" ht="12.75">
      <c r="A100" s="9"/>
      <c r="B100" s="7" t="s">
        <v>147</v>
      </c>
      <c r="C100" s="12">
        <f>18413800/F100</f>
        <v>34099.62962962963</v>
      </c>
      <c r="D100" s="12"/>
      <c r="E100" s="12">
        <f>1238100/F100</f>
        <v>2292.777777777778</v>
      </c>
      <c r="F100" s="12">
        <f>F98</f>
        <v>540</v>
      </c>
      <c r="G100" s="12">
        <f>(C100+D100+E100)</f>
        <v>36392.40740740741</v>
      </c>
      <c r="H100" s="25">
        <v>540</v>
      </c>
      <c r="I100" s="26">
        <f t="shared" si="2"/>
        <v>19651900</v>
      </c>
      <c r="J100" s="32"/>
      <c r="K100" s="32">
        <f t="shared" si="3"/>
        <v>19651900</v>
      </c>
    </row>
    <row r="101" spans="1:11" ht="12.75">
      <c r="A101" s="9">
        <v>29</v>
      </c>
      <c r="B101" s="7" t="s">
        <v>53</v>
      </c>
      <c r="C101" s="11">
        <f>C102+C103</f>
        <v>37188.50364963504</v>
      </c>
      <c r="D101" s="11">
        <f>D102+D103</f>
        <v>1764.7062408759125</v>
      </c>
      <c r="E101" s="11">
        <f>E102+E103</f>
        <v>2540.964580291971</v>
      </c>
      <c r="F101" s="11">
        <v>548</v>
      </c>
      <c r="G101" s="11">
        <f>G102+G103</f>
        <v>41494.17447080292</v>
      </c>
      <c r="H101" s="25">
        <v>548</v>
      </c>
      <c r="I101" s="11">
        <f t="shared" si="2"/>
        <v>22738807.61</v>
      </c>
      <c r="J101" s="29">
        <v>805317.64</v>
      </c>
      <c r="K101" s="29">
        <f t="shared" si="3"/>
        <v>23544125.25</v>
      </c>
    </row>
    <row r="102" spans="1:11" ht="12.75">
      <c r="A102" s="9"/>
      <c r="B102" s="7" t="s">
        <v>17</v>
      </c>
      <c r="C102" s="12"/>
      <c r="D102" s="12">
        <f>967059.02/F102</f>
        <v>1764.7062408759125</v>
      </c>
      <c r="E102" s="12">
        <f>156148.59/F102</f>
        <v>284.94268248175183</v>
      </c>
      <c r="F102" s="12">
        <f>F101</f>
        <v>548</v>
      </c>
      <c r="G102" s="12">
        <f>(C102+D102+E102)</f>
        <v>2049.6489233576644</v>
      </c>
      <c r="H102" s="25">
        <v>548</v>
      </c>
      <c r="I102" s="26">
        <f t="shared" si="2"/>
        <v>1123207.61</v>
      </c>
      <c r="J102" s="32">
        <f>J101</f>
        <v>805317.64</v>
      </c>
      <c r="K102" s="32">
        <f t="shared" si="3"/>
        <v>1928525.25</v>
      </c>
    </row>
    <row r="103" spans="1:11" ht="12.75">
      <c r="A103" s="9"/>
      <c r="B103" s="7" t="s">
        <v>147</v>
      </c>
      <c r="C103" s="12">
        <f>20379300/F103</f>
        <v>37188.50364963504</v>
      </c>
      <c r="D103" s="12"/>
      <c r="E103" s="12">
        <f>1236300/F103</f>
        <v>2256.021897810219</v>
      </c>
      <c r="F103" s="12">
        <f>F101</f>
        <v>548</v>
      </c>
      <c r="G103" s="12">
        <f>(C103+D103+E103)</f>
        <v>39444.52554744526</v>
      </c>
      <c r="H103" s="25">
        <v>548</v>
      </c>
      <c r="I103" s="26">
        <f t="shared" si="2"/>
        <v>21615600</v>
      </c>
      <c r="J103" s="32"/>
      <c r="K103" s="32">
        <f t="shared" si="3"/>
        <v>21615600</v>
      </c>
    </row>
    <row r="104" spans="1:11" ht="12.75">
      <c r="A104" s="9">
        <v>30</v>
      </c>
      <c r="B104" s="7" t="s">
        <v>54</v>
      </c>
      <c r="C104" s="11">
        <f>C105+C106</f>
        <v>35467.153284671534</v>
      </c>
      <c r="D104" s="11">
        <f>D105+D106</f>
        <v>2657.9708613138687</v>
      </c>
      <c r="E104" s="11">
        <f>E105+E106</f>
        <v>2426.5225547445257</v>
      </c>
      <c r="F104" s="11">
        <v>685</v>
      </c>
      <c r="G104" s="11">
        <f>G105+G106</f>
        <v>40551.64670072993</v>
      </c>
      <c r="H104" s="25">
        <v>685</v>
      </c>
      <c r="I104" s="11">
        <f t="shared" si="2"/>
        <v>27777877.990000002</v>
      </c>
      <c r="J104" s="29">
        <v>1575890</v>
      </c>
      <c r="K104" s="29">
        <f t="shared" si="3"/>
        <v>29353767.990000002</v>
      </c>
    </row>
    <row r="105" spans="1:11" ht="12.75">
      <c r="A105" s="9"/>
      <c r="B105" s="7" t="s">
        <v>17</v>
      </c>
      <c r="C105" s="12"/>
      <c r="D105" s="12">
        <f>1820710.04/F105</f>
        <v>2657.9708613138687</v>
      </c>
      <c r="E105" s="12">
        <f>199467.95/F105</f>
        <v>291.1940875912409</v>
      </c>
      <c r="F105" s="12">
        <f>F104</f>
        <v>685</v>
      </c>
      <c r="G105" s="12">
        <f>(C105+D105+E105)</f>
        <v>2949.1649489051097</v>
      </c>
      <c r="H105" s="25">
        <v>685</v>
      </c>
      <c r="I105" s="26">
        <f t="shared" si="2"/>
        <v>2020177.9900000002</v>
      </c>
      <c r="J105" s="32">
        <f>J104</f>
        <v>1575890</v>
      </c>
      <c r="K105" s="32">
        <f t="shared" si="3"/>
        <v>3596067.99</v>
      </c>
    </row>
    <row r="106" spans="1:11" ht="12.75">
      <c r="A106" s="9"/>
      <c r="B106" s="7" t="s">
        <v>147</v>
      </c>
      <c r="C106" s="12">
        <f>24295000/F106</f>
        <v>35467.153284671534</v>
      </c>
      <c r="D106" s="12"/>
      <c r="E106" s="12">
        <f>1462700/F106</f>
        <v>2135.3284671532847</v>
      </c>
      <c r="F106" s="12">
        <f>F104</f>
        <v>685</v>
      </c>
      <c r="G106" s="12">
        <f>(C106+D106+E106)</f>
        <v>37602.48175182482</v>
      </c>
      <c r="H106" s="25">
        <v>685</v>
      </c>
      <c r="I106" s="26">
        <f t="shared" si="2"/>
        <v>25757700</v>
      </c>
      <c r="J106" s="32"/>
      <c r="K106" s="32">
        <f t="shared" si="3"/>
        <v>25757700</v>
      </c>
    </row>
    <row r="107" spans="1:11" ht="12.75">
      <c r="A107" s="9">
        <v>31</v>
      </c>
      <c r="B107" s="7" t="s">
        <v>55</v>
      </c>
      <c r="C107" s="11">
        <f>C108+C109</f>
        <v>43836.13466334165</v>
      </c>
      <c r="D107" s="11">
        <f>D108+D109</f>
        <v>3360.299326683292</v>
      </c>
      <c r="E107" s="11">
        <f>E108+E109</f>
        <v>3000.3609476309225</v>
      </c>
      <c r="F107" s="11">
        <v>401</v>
      </c>
      <c r="G107" s="11">
        <f>G108+G109</f>
        <v>50196.79493765586</v>
      </c>
      <c r="H107" s="25">
        <v>401</v>
      </c>
      <c r="I107" s="11">
        <f t="shared" si="2"/>
        <v>20128914.77</v>
      </c>
      <c r="J107" s="29">
        <v>805157.32</v>
      </c>
      <c r="K107" s="29">
        <f t="shared" si="3"/>
        <v>20934072.09</v>
      </c>
    </row>
    <row r="108" spans="1:11" ht="12.75">
      <c r="A108" s="9"/>
      <c r="B108" s="7" t="s">
        <v>17</v>
      </c>
      <c r="C108" s="12">
        <f>538100/F108</f>
        <v>1341.8952618453866</v>
      </c>
      <c r="D108" s="12">
        <f>1347480.03/F108</f>
        <v>3360.299326683292</v>
      </c>
      <c r="E108" s="12">
        <f>274344.74/F108</f>
        <v>684.1514713216957</v>
      </c>
      <c r="F108" s="12">
        <f>F107</f>
        <v>401</v>
      </c>
      <c r="G108" s="12">
        <f>(C108+D108+E108)</f>
        <v>5386.346059850374</v>
      </c>
      <c r="H108" s="25">
        <v>401</v>
      </c>
      <c r="I108" s="26">
        <f t="shared" si="2"/>
        <v>2159924.77</v>
      </c>
      <c r="J108" s="32">
        <f>J107</f>
        <v>805157.32</v>
      </c>
      <c r="K108" s="32">
        <f t="shared" si="3"/>
        <v>2965082.09</v>
      </c>
    </row>
    <row r="109" spans="1:11" ht="12.75">
      <c r="A109" s="9"/>
      <c r="B109" s="7" t="s">
        <v>147</v>
      </c>
      <c r="C109" s="12">
        <f>17040190/F109</f>
        <v>42494.23940149626</v>
      </c>
      <c r="D109" s="12"/>
      <c r="E109" s="12">
        <f>928800/F109</f>
        <v>2316.209476309227</v>
      </c>
      <c r="F109" s="12">
        <f>F107</f>
        <v>401</v>
      </c>
      <c r="G109" s="12">
        <f>(C109+D109+E109)</f>
        <v>44810.44887780549</v>
      </c>
      <c r="H109" s="25">
        <v>401</v>
      </c>
      <c r="I109" s="26">
        <f t="shared" si="2"/>
        <v>17968990</v>
      </c>
      <c r="J109" s="32"/>
      <c r="K109" s="32">
        <f t="shared" si="3"/>
        <v>17968990</v>
      </c>
    </row>
    <row r="110" spans="1:11" ht="12.75">
      <c r="A110" s="9">
        <v>32</v>
      </c>
      <c r="B110" s="7" t="s">
        <v>56</v>
      </c>
      <c r="C110" s="11">
        <f>C111+C112</f>
        <v>32463.177805800755</v>
      </c>
      <c r="D110" s="11">
        <f>D111+D112</f>
        <v>1950.5782471626735</v>
      </c>
      <c r="E110" s="11">
        <f>E111+E112</f>
        <v>3075.741134930643</v>
      </c>
      <c r="F110" s="11">
        <v>793</v>
      </c>
      <c r="G110" s="11">
        <f>G111+G112</f>
        <v>37489.49718789407</v>
      </c>
      <c r="H110" s="25">
        <v>793</v>
      </c>
      <c r="I110" s="11">
        <f t="shared" si="2"/>
        <v>29729171.27</v>
      </c>
      <c r="J110" s="29">
        <v>932656.51</v>
      </c>
      <c r="K110" s="29">
        <f t="shared" si="3"/>
        <v>30661827.78</v>
      </c>
    </row>
    <row r="111" spans="1:11" ht="12.75">
      <c r="A111" s="9"/>
      <c r="B111" s="7" t="s">
        <v>17</v>
      </c>
      <c r="C111" s="12"/>
      <c r="D111" s="12">
        <f>1546808.55/F111</f>
        <v>1950.5782471626735</v>
      </c>
      <c r="E111" s="12">
        <f>663362.72/F111</f>
        <v>836.522976040353</v>
      </c>
      <c r="F111" s="12">
        <f>F110</f>
        <v>793</v>
      </c>
      <c r="G111" s="12">
        <f>(C111+D111+E111)</f>
        <v>2787.1012232030266</v>
      </c>
      <c r="H111" s="25">
        <v>793</v>
      </c>
      <c r="I111" s="26">
        <f t="shared" si="2"/>
        <v>2210171.27</v>
      </c>
      <c r="J111" s="32">
        <f>J110</f>
        <v>932656.51</v>
      </c>
      <c r="K111" s="32">
        <f t="shared" si="3"/>
        <v>3142827.7800000003</v>
      </c>
    </row>
    <row r="112" spans="1:11" ht="12.75">
      <c r="A112" s="9"/>
      <c r="B112" s="7" t="s">
        <v>147</v>
      </c>
      <c r="C112" s="12">
        <f>25743300/F112</f>
        <v>32463.177805800755</v>
      </c>
      <c r="D112" s="12"/>
      <c r="E112" s="12">
        <f>1775700/F112</f>
        <v>2239.21815889029</v>
      </c>
      <c r="F112" s="12">
        <f>F110</f>
        <v>793</v>
      </c>
      <c r="G112" s="12">
        <f>(C112+D112+E112)</f>
        <v>34702.395964691044</v>
      </c>
      <c r="H112" s="25">
        <v>793</v>
      </c>
      <c r="I112" s="26">
        <f t="shared" si="2"/>
        <v>27519000</v>
      </c>
      <c r="J112" s="32"/>
      <c r="K112" s="32">
        <f t="shared" si="3"/>
        <v>27519000</v>
      </c>
    </row>
    <row r="113" spans="1:11" ht="12.75">
      <c r="A113" s="9">
        <v>33</v>
      </c>
      <c r="B113" s="7" t="s">
        <v>57</v>
      </c>
      <c r="C113" s="11">
        <f>C114+C115</f>
        <v>28421.405750798724</v>
      </c>
      <c r="D113" s="11">
        <f>D114+D115</f>
        <v>1717.1197124600637</v>
      </c>
      <c r="E113" s="11">
        <f>E114+E115</f>
        <v>3445.047923322684</v>
      </c>
      <c r="F113" s="11">
        <v>313</v>
      </c>
      <c r="G113" s="11">
        <f>G114+G115</f>
        <v>33583.57338658147</v>
      </c>
      <c r="H113" s="25">
        <v>313</v>
      </c>
      <c r="I113" s="11">
        <f t="shared" si="2"/>
        <v>10511658.47</v>
      </c>
      <c r="J113" s="29">
        <v>312381.05</v>
      </c>
      <c r="K113" s="29">
        <f t="shared" si="3"/>
        <v>10824039.520000001</v>
      </c>
    </row>
    <row r="114" spans="1:11" ht="12.75">
      <c r="A114" s="9"/>
      <c r="B114" s="7" t="s">
        <v>17</v>
      </c>
      <c r="C114" s="12"/>
      <c r="D114" s="12">
        <f>537458.47/F114</f>
        <v>1717.1197124600637</v>
      </c>
      <c r="E114" s="12">
        <f>133700/F114</f>
        <v>427.15654952076676</v>
      </c>
      <c r="F114" s="12">
        <f>F113</f>
        <v>313</v>
      </c>
      <c r="G114" s="12">
        <f>(C114+D114+E114)</f>
        <v>2144.2762619808304</v>
      </c>
      <c r="H114" s="25">
        <v>313</v>
      </c>
      <c r="I114" s="26">
        <f t="shared" si="2"/>
        <v>671158.47</v>
      </c>
      <c r="J114" s="32">
        <f>J113</f>
        <v>312381.05</v>
      </c>
      <c r="K114" s="32">
        <f t="shared" si="3"/>
        <v>983539.52</v>
      </c>
    </row>
    <row r="115" spans="1:11" ht="12.75">
      <c r="A115" s="9"/>
      <c r="B115" s="7" t="s">
        <v>147</v>
      </c>
      <c r="C115" s="12">
        <f>8895900/F115</f>
        <v>28421.405750798724</v>
      </c>
      <c r="D115" s="12"/>
      <c r="E115" s="12">
        <f>944600/F115</f>
        <v>3017.891373801917</v>
      </c>
      <c r="F115" s="12">
        <f>F113</f>
        <v>313</v>
      </c>
      <c r="G115" s="12">
        <f>(C115+D115+E115)</f>
        <v>31439.297124600642</v>
      </c>
      <c r="H115" s="25">
        <v>313</v>
      </c>
      <c r="I115" s="26">
        <f t="shared" si="2"/>
        <v>9840500</v>
      </c>
      <c r="J115" s="29"/>
      <c r="K115" s="32">
        <f t="shared" si="3"/>
        <v>9840500</v>
      </c>
    </row>
    <row r="116" spans="1:11" ht="12.75">
      <c r="A116" s="9">
        <v>34</v>
      </c>
      <c r="B116" s="7" t="s">
        <v>58</v>
      </c>
      <c r="C116" s="11">
        <f>C117+C118</f>
        <v>63390.05847953216</v>
      </c>
      <c r="D116" s="11">
        <f>D117+D118</f>
        <v>5041.552514619883</v>
      </c>
      <c r="E116" s="11">
        <f>E117+E118</f>
        <v>4418.485555555556</v>
      </c>
      <c r="F116" s="11">
        <v>171</v>
      </c>
      <c r="G116" s="11">
        <f>G117+G118</f>
        <v>72850.09654970761</v>
      </c>
      <c r="H116" s="25">
        <v>171</v>
      </c>
      <c r="I116" s="11">
        <f t="shared" si="2"/>
        <v>12457366.510000002</v>
      </c>
      <c r="J116" s="29">
        <v>642767.28</v>
      </c>
      <c r="K116" s="29">
        <f t="shared" si="3"/>
        <v>13100133.790000001</v>
      </c>
    </row>
    <row r="117" spans="1:11" ht="12.75">
      <c r="A117" s="9"/>
      <c r="B117" s="7" t="s">
        <v>17</v>
      </c>
      <c r="C117" s="12"/>
      <c r="D117" s="12">
        <f>862105.48/F117</f>
        <v>5041.552514619883</v>
      </c>
      <c r="E117" s="12">
        <f>230105.97/F117</f>
        <v>1345.648947368421</v>
      </c>
      <c r="F117" s="12">
        <f>F116</f>
        <v>171</v>
      </c>
      <c r="G117" s="12">
        <f>(C117+D117+E117)</f>
        <v>6387.201461988305</v>
      </c>
      <c r="H117" s="25">
        <v>171</v>
      </c>
      <c r="I117" s="26">
        <f t="shared" si="2"/>
        <v>1092211.4500000002</v>
      </c>
      <c r="J117" s="32">
        <f>J116</f>
        <v>642767.28</v>
      </c>
      <c r="K117" s="32">
        <f t="shared" si="3"/>
        <v>1734978.7300000002</v>
      </c>
    </row>
    <row r="118" spans="1:11" ht="12.75">
      <c r="A118" s="9"/>
      <c r="B118" s="7" t="s">
        <v>147</v>
      </c>
      <c r="C118" s="12">
        <f>10839700/F118</f>
        <v>63390.05847953216</v>
      </c>
      <c r="D118" s="12"/>
      <c r="E118" s="12">
        <f>525455.06/F118</f>
        <v>3072.836608187135</v>
      </c>
      <c r="F118" s="12">
        <f>F116</f>
        <v>171</v>
      </c>
      <c r="G118" s="12">
        <f>(C118+D118+E118)</f>
        <v>66462.8950877193</v>
      </c>
      <c r="H118" s="25">
        <v>171</v>
      </c>
      <c r="I118" s="26">
        <f t="shared" si="2"/>
        <v>11365155.06</v>
      </c>
      <c r="J118" s="29"/>
      <c r="K118" s="32">
        <f t="shared" si="3"/>
        <v>11365155.06</v>
      </c>
    </row>
    <row r="119" spans="1:11" ht="12.75">
      <c r="A119" s="9">
        <v>35</v>
      </c>
      <c r="B119" s="7" t="s">
        <v>59</v>
      </c>
      <c r="C119" s="11">
        <f>C120+C121</f>
        <v>35672.96650717703</v>
      </c>
      <c r="D119" s="11">
        <f>D120+D121</f>
        <v>3427.3444976076553</v>
      </c>
      <c r="E119" s="11">
        <f>E120+E121</f>
        <v>2951.334976076555</v>
      </c>
      <c r="F119" s="11">
        <v>836</v>
      </c>
      <c r="G119" s="11">
        <f>G120+G121</f>
        <v>42051.64598086124</v>
      </c>
      <c r="H119" s="25">
        <v>836</v>
      </c>
      <c r="I119" s="11">
        <f t="shared" si="2"/>
        <v>35155176.04</v>
      </c>
      <c r="J119" s="29">
        <v>13786261.94</v>
      </c>
      <c r="K119" s="29">
        <f t="shared" si="3"/>
        <v>48941437.98</v>
      </c>
    </row>
    <row r="120" spans="1:11" ht="12.75">
      <c r="A120" s="9"/>
      <c r="B120" s="7" t="s">
        <v>17</v>
      </c>
      <c r="C120" s="12">
        <f>993800/F120</f>
        <v>1188.755980861244</v>
      </c>
      <c r="D120" s="12">
        <f>2865260/F120</f>
        <v>3427.3444976076553</v>
      </c>
      <c r="E120" s="12">
        <f>515316.04/F120</f>
        <v>616.4067464114833</v>
      </c>
      <c r="F120" s="12">
        <f>F119</f>
        <v>836</v>
      </c>
      <c r="G120" s="12">
        <f>(C120+D120+E120)</f>
        <v>5232.507224880383</v>
      </c>
      <c r="H120" s="25">
        <v>836</v>
      </c>
      <c r="I120" s="26">
        <f t="shared" si="2"/>
        <v>4374376.04</v>
      </c>
      <c r="J120" s="32">
        <f>J119</f>
        <v>13786261.94</v>
      </c>
      <c r="K120" s="32">
        <f t="shared" si="3"/>
        <v>18160637.98</v>
      </c>
    </row>
    <row r="121" spans="1:11" ht="12.75">
      <c r="A121" s="9"/>
      <c r="B121" s="7" t="s">
        <v>147</v>
      </c>
      <c r="C121" s="12">
        <f>28828800/F121</f>
        <v>34484.21052631579</v>
      </c>
      <c r="D121" s="12"/>
      <c r="E121" s="12">
        <f>1952000/F121</f>
        <v>2334.9282296650717</v>
      </c>
      <c r="F121" s="12">
        <f>F119</f>
        <v>836</v>
      </c>
      <c r="G121" s="12">
        <f>(C121+D121+E121)</f>
        <v>36819.13875598086</v>
      </c>
      <c r="H121" s="25">
        <v>836</v>
      </c>
      <c r="I121" s="26">
        <f t="shared" si="2"/>
        <v>30780799.999999996</v>
      </c>
      <c r="J121" s="32"/>
      <c r="K121" s="32">
        <f t="shared" si="3"/>
        <v>30780799.999999996</v>
      </c>
    </row>
    <row r="122" spans="1:11" ht="12.75">
      <c r="A122" s="9">
        <v>36</v>
      </c>
      <c r="B122" s="7" t="s">
        <v>60</v>
      </c>
      <c r="C122" s="11">
        <f>C123+C124</f>
        <v>68334.45945945945</v>
      </c>
      <c r="D122" s="11">
        <f>D123+D124</f>
        <v>3419.685337837838</v>
      </c>
      <c r="E122" s="11">
        <f>E123+E124</f>
        <v>3047.1554054054054</v>
      </c>
      <c r="F122" s="11">
        <v>148</v>
      </c>
      <c r="G122" s="11">
        <f>G123+G124</f>
        <v>74801.3002027027</v>
      </c>
      <c r="H122" s="25">
        <v>148</v>
      </c>
      <c r="I122" s="11">
        <f t="shared" si="2"/>
        <v>11070592.43</v>
      </c>
      <c r="J122" s="29">
        <v>385621.83</v>
      </c>
      <c r="K122" s="29">
        <f t="shared" si="3"/>
        <v>11456214.26</v>
      </c>
    </row>
    <row r="123" spans="1:11" ht="12.75">
      <c r="A123" s="9"/>
      <c r="B123" s="7" t="s">
        <v>17</v>
      </c>
      <c r="C123" s="12"/>
      <c r="D123" s="12">
        <f>506113.43/F123</f>
        <v>3419.685337837838</v>
      </c>
      <c r="E123" s="12">
        <f>110379/F123</f>
        <v>745.8040540540541</v>
      </c>
      <c r="F123" s="12">
        <f>F122</f>
        <v>148</v>
      </c>
      <c r="G123" s="12">
        <f>(C123+D123+E123)</f>
        <v>4165.4893918918915</v>
      </c>
      <c r="H123" s="25">
        <v>148</v>
      </c>
      <c r="I123" s="26">
        <f t="shared" si="2"/>
        <v>616492.4299999999</v>
      </c>
      <c r="J123" s="32">
        <f>J122</f>
        <v>385621.83</v>
      </c>
      <c r="K123" s="32">
        <f t="shared" si="3"/>
        <v>1002114.26</v>
      </c>
    </row>
    <row r="124" spans="1:11" ht="12.75">
      <c r="A124" s="9"/>
      <c r="B124" s="7" t="s">
        <v>147</v>
      </c>
      <c r="C124" s="12">
        <f>10113500/F124</f>
        <v>68334.45945945945</v>
      </c>
      <c r="D124" s="12"/>
      <c r="E124" s="12">
        <f>340600/F124</f>
        <v>2301.3513513513512</v>
      </c>
      <c r="F124" s="12">
        <f>F122</f>
        <v>148</v>
      </c>
      <c r="G124" s="12">
        <f>(C124+D124+E124)</f>
        <v>70635.8108108108</v>
      </c>
      <c r="H124" s="25">
        <v>148</v>
      </c>
      <c r="I124" s="26">
        <f t="shared" si="2"/>
        <v>10454099.999999998</v>
      </c>
      <c r="J124" s="32"/>
      <c r="K124" s="32">
        <f t="shared" si="3"/>
        <v>10454099.999999998</v>
      </c>
    </row>
    <row r="125" spans="1:11" ht="12.75">
      <c r="A125" s="9">
        <v>37</v>
      </c>
      <c r="B125" s="7" t="s">
        <v>61</v>
      </c>
      <c r="C125" s="11">
        <f>C126+C127</f>
        <v>73743.6974789916</v>
      </c>
      <c r="D125" s="11">
        <f>D126+D127</f>
        <v>7454.544117647059</v>
      </c>
      <c r="E125" s="11">
        <f>E126+E127</f>
        <v>15368.44294117647</v>
      </c>
      <c r="F125" s="11">
        <v>119</v>
      </c>
      <c r="G125" s="11">
        <f>G126+G127</f>
        <v>96566.68453781512</v>
      </c>
      <c r="H125" s="25">
        <v>119</v>
      </c>
      <c r="I125" s="11">
        <f t="shared" si="2"/>
        <v>11491435.459999999</v>
      </c>
      <c r="J125" s="29">
        <v>1381643.04</v>
      </c>
      <c r="K125" s="29">
        <f t="shared" si="3"/>
        <v>12873078.5</v>
      </c>
    </row>
    <row r="126" spans="1:11" ht="12.75">
      <c r="A126" s="9"/>
      <c r="B126" s="7" t="s">
        <v>17</v>
      </c>
      <c r="C126" s="12"/>
      <c r="D126" s="12">
        <f>887090.75/F126</f>
        <v>7454.544117647059</v>
      </c>
      <c r="E126" s="12">
        <f>1553744.71/F126</f>
        <v>13056.678235294117</v>
      </c>
      <c r="F126" s="12">
        <f>F125</f>
        <v>119</v>
      </c>
      <c r="G126" s="12">
        <f>(C126+D126+E126)</f>
        <v>20511.222352941175</v>
      </c>
      <c r="H126" s="25">
        <v>119</v>
      </c>
      <c r="I126" s="26">
        <f t="shared" si="2"/>
        <v>2440835.46</v>
      </c>
      <c r="J126" s="32">
        <f>J125</f>
        <v>1381643.04</v>
      </c>
      <c r="K126" s="32">
        <f t="shared" si="3"/>
        <v>3822478.5</v>
      </c>
    </row>
    <row r="127" spans="1:11" ht="12.75">
      <c r="A127" s="9"/>
      <c r="B127" s="7" t="s">
        <v>147</v>
      </c>
      <c r="C127" s="12">
        <f>8775500/F127</f>
        <v>73743.6974789916</v>
      </c>
      <c r="D127" s="12"/>
      <c r="E127" s="12">
        <f>275100/F127</f>
        <v>2311.764705882353</v>
      </c>
      <c r="F127" s="12">
        <f>F125</f>
        <v>119</v>
      </c>
      <c r="G127" s="12">
        <f>(C127+D127+E127)</f>
        <v>76055.46218487395</v>
      </c>
      <c r="H127" s="25">
        <v>119</v>
      </c>
      <c r="I127" s="26">
        <f t="shared" si="2"/>
        <v>9050600</v>
      </c>
      <c r="J127" s="32"/>
      <c r="K127" s="32">
        <f t="shared" si="3"/>
        <v>9050600</v>
      </c>
    </row>
    <row r="128" spans="1:11" ht="12.75">
      <c r="A128" s="9">
        <v>38</v>
      </c>
      <c r="B128" s="7" t="s">
        <v>62</v>
      </c>
      <c r="C128" s="11">
        <f>C129+C130</f>
        <v>76431.45161290323</v>
      </c>
      <c r="D128" s="11">
        <f>D129+D130</f>
        <v>5261.105241935485</v>
      </c>
      <c r="E128" s="11">
        <f>E129+E130</f>
        <v>10459.335564516128</v>
      </c>
      <c r="F128" s="11">
        <v>124</v>
      </c>
      <c r="G128" s="11">
        <f>G129+G130</f>
        <v>92151.89241935484</v>
      </c>
      <c r="H128" s="25">
        <v>124</v>
      </c>
      <c r="I128" s="11">
        <f t="shared" si="2"/>
        <v>11426834.66</v>
      </c>
      <c r="J128" s="29">
        <v>508073.19</v>
      </c>
      <c r="K128" s="29">
        <f t="shared" si="3"/>
        <v>11934907.85</v>
      </c>
    </row>
    <row r="129" spans="1:11" ht="12.75">
      <c r="A129" s="9"/>
      <c r="B129" s="7" t="s">
        <v>17</v>
      </c>
      <c r="C129" s="12">
        <f>138500/F129</f>
        <v>1116.9354838709678</v>
      </c>
      <c r="D129" s="12">
        <f>652377.05/F129</f>
        <v>5261.105241935485</v>
      </c>
      <c r="E129" s="12">
        <f>991557.61/F129</f>
        <v>7996.432338709677</v>
      </c>
      <c r="F129" s="12">
        <f>F128</f>
        <v>124</v>
      </c>
      <c r="G129" s="12">
        <f>(C129+D129+E129)</f>
        <v>14374.473064516129</v>
      </c>
      <c r="H129" s="25">
        <v>124</v>
      </c>
      <c r="I129" s="26">
        <f t="shared" si="2"/>
        <v>1782434.66</v>
      </c>
      <c r="J129" s="32">
        <f>J128</f>
        <v>508073.19</v>
      </c>
      <c r="K129" s="32">
        <f t="shared" si="3"/>
        <v>2290507.85</v>
      </c>
    </row>
    <row r="130" spans="1:11" ht="12.75">
      <c r="A130" s="9"/>
      <c r="B130" s="7" t="s">
        <v>147</v>
      </c>
      <c r="C130" s="12">
        <f>9339000/F130</f>
        <v>75314.51612903226</v>
      </c>
      <c r="D130" s="12"/>
      <c r="E130" s="12">
        <f>305400/F130</f>
        <v>2462.9032258064517</v>
      </c>
      <c r="F130" s="12">
        <f>F128</f>
        <v>124</v>
      </c>
      <c r="G130" s="12">
        <f>(C130+D130+E130)</f>
        <v>77777.41935483871</v>
      </c>
      <c r="H130" s="25">
        <v>124</v>
      </c>
      <c r="I130" s="26">
        <f t="shared" si="2"/>
        <v>9644400</v>
      </c>
      <c r="J130" s="29"/>
      <c r="K130" s="32">
        <f t="shared" si="3"/>
        <v>9644400</v>
      </c>
    </row>
    <row r="131" spans="1:11" ht="12.75">
      <c r="A131" s="9">
        <v>39</v>
      </c>
      <c r="B131" s="7" t="s">
        <v>63</v>
      </c>
      <c r="C131" s="11">
        <f>C132+C133</f>
        <v>62096.153846153844</v>
      </c>
      <c r="D131" s="11">
        <f>D132+D133</f>
        <v>10108.204807692307</v>
      </c>
      <c r="E131" s="11">
        <f>E132+E133</f>
        <v>8076.343205128205</v>
      </c>
      <c r="F131" s="11">
        <v>156</v>
      </c>
      <c r="G131" s="11">
        <f>G132+G133</f>
        <v>80280.70185897435</v>
      </c>
      <c r="H131" s="25">
        <v>156</v>
      </c>
      <c r="I131" s="11">
        <f t="shared" si="2"/>
        <v>12523789.489999998</v>
      </c>
      <c r="J131" s="29">
        <v>1385155.87</v>
      </c>
      <c r="K131" s="29">
        <f t="shared" si="3"/>
        <v>13908945.36</v>
      </c>
    </row>
    <row r="132" spans="1:11" ht="12.75">
      <c r="A132" s="9"/>
      <c r="B132" s="7" t="s">
        <v>17</v>
      </c>
      <c r="C132" s="12"/>
      <c r="D132" s="12">
        <f>1576879.95/F132</f>
        <v>10108.204807692307</v>
      </c>
      <c r="E132" s="12">
        <f>897409.54/F132</f>
        <v>5752.625256410257</v>
      </c>
      <c r="F132" s="12">
        <f>F131</f>
        <v>156</v>
      </c>
      <c r="G132" s="12">
        <f>(C132+D132+E132)</f>
        <v>15860.830064102563</v>
      </c>
      <c r="H132" s="25">
        <v>156</v>
      </c>
      <c r="I132" s="26">
        <f t="shared" si="2"/>
        <v>2474289.4899999998</v>
      </c>
      <c r="J132" s="32">
        <f>J131</f>
        <v>1385155.87</v>
      </c>
      <c r="K132" s="32">
        <f t="shared" si="3"/>
        <v>3859445.36</v>
      </c>
    </row>
    <row r="133" spans="1:11" ht="12.75">
      <c r="A133" s="9"/>
      <c r="B133" s="7" t="s">
        <v>147</v>
      </c>
      <c r="C133" s="12">
        <f>9687000/F133</f>
        <v>62096.153846153844</v>
      </c>
      <c r="D133" s="12"/>
      <c r="E133" s="12">
        <f>362500/F133</f>
        <v>2323.7179487179487</v>
      </c>
      <c r="F133" s="12">
        <f>F131</f>
        <v>156</v>
      </c>
      <c r="G133" s="12">
        <f>(C133+D133+E133)</f>
        <v>64419.87179487179</v>
      </c>
      <c r="H133" s="25">
        <v>156</v>
      </c>
      <c r="I133" s="26">
        <f t="shared" si="2"/>
        <v>10049500</v>
      </c>
      <c r="J133" s="29"/>
      <c r="K133" s="32">
        <f t="shared" si="3"/>
        <v>10049500</v>
      </c>
    </row>
    <row r="134" spans="1:11" ht="12.75">
      <c r="A134" s="9">
        <v>40</v>
      </c>
      <c r="B134" s="7" t="s">
        <v>64</v>
      </c>
      <c r="C134" s="11">
        <f>C135+C136</f>
        <v>49343.98249452954</v>
      </c>
      <c r="D134" s="11">
        <f>D135+D136</f>
        <v>0</v>
      </c>
      <c r="E134" s="11">
        <f>E135+E136</f>
        <v>2657.3304157549233</v>
      </c>
      <c r="F134" s="11">
        <v>457</v>
      </c>
      <c r="G134" s="11">
        <f>G135+G136</f>
        <v>52001.31291028446</v>
      </c>
      <c r="H134" s="25">
        <v>457</v>
      </c>
      <c r="I134" s="11">
        <f t="shared" si="2"/>
        <v>23764600</v>
      </c>
      <c r="J134" s="29">
        <v>17500</v>
      </c>
      <c r="K134" s="29">
        <f t="shared" si="3"/>
        <v>23782100</v>
      </c>
    </row>
    <row r="135" spans="1:11" ht="12.75">
      <c r="A135" s="9"/>
      <c r="B135" s="7" t="s">
        <v>17</v>
      </c>
      <c r="C135" s="12"/>
      <c r="D135" s="12"/>
      <c r="E135" s="12">
        <f>114000/F135</f>
        <v>249.45295404814004</v>
      </c>
      <c r="F135" s="12">
        <f>F134</f>
        <v>457</v>
      </c>
      <c r="G135" s="12">
        <f>(C135+D135+E135)</f>
        <v>249.45295404814004</v>
      </c>
      <c r="H135" s="25">
        <v>457</v>
      </c>
      <c r="I135" s="26">
        <f t="shared" si="2"/>
        <v>114000</v>
      </c>
      <c r="J135" s="32">
        <f>J134</f>
        <v>17500</v>
      </c>
      <c r="K135" s="32">
        <f t="shared" si="3"/>
        <v>131500</v>
      </c>
    </row>
    <row r="136" spans="1:11" ht="12.75">
      <c r="A136" s="9"/>
      <c r="B136" s="7" t="s">
        <v>147</v>
      </c>
      <c r="C136" s="12">
        <f>22550200/F136</f>
        <v>49343.98249452954</v>
      </c>
      <c r="D136" s="12"/>
      <c r="E136" s="12">
        <f>1100400/F136</f>
        <v>2407.8774617067834</v>
      </c>
      <c r="F136" s="12">
        <f>F134</f>
        <v>457</v>
      </c>
      <c r="G136" s="12">
        <f>(C136+D136+E136)</f>
        <v>51751.85995623632</v>
      </c>
      <c r="H136" s="25">
        <v>457</v>
      </c>
      <c r="I136" s="26">
        <f t="shared" si="2"/>
        <v>23650600</v>
      </c>
      <c r="J136" s="32"/>
      <c r="K136" s="32">
        <f t="shared" si="3"/>
        <v>23650600</v>
      </c>
    </row>
    <row r="137" spans="1:11" ht="12.75">
      <c r="A137" s="9">
        <v>41</v>
      </c>
      <c r="B137" s="7" t="s">
        <v>65</v>
      </c>
      <c r="C137" s="11">
        <f>C138+C139</f>
        <v>202833.33333333334</v>
      </c>
      <c r="D137" s="11">
        <f>D138+D139</f>
        <v>11497.6088</v>
      </c>
      <c r="E137" s="11">
        <f>E138+E139</f>
        <v>8345.234933333333</v>
      </c>
      <c r="F137" s="11">
        <v>75</v>
      </c>
      <c r="G137" s="11">
        <f>G138+G139</f>
        <v>222676.17706666666</v>
      </c>
      <c r="H137" s="25">
        <v>75</v>
      </c>
      <c r="I137" s="11">
        <f t="shared" si="2"/>
        <v>16700713.28</v>
      </c>
      <c r="J137" s="29">
        <v>484568.89</v>
      </c>
      <c r="K137" s="29">
        <f t="shared" si="3"/>
        <v>17185282.169999998</v>
      </c>
    </row>
    <row r="138" spans="1:11" ht="12.75">
      <c r="A138" s="9"/>
      <c r="B138" s="7" t="s">
        <v>17</v>
      </c>
      <c r="C138" s="12">
        <f>2598400/F138</f>
        <v>34645.333333333336</v>
      </c>
      <c r="D138" s="12">
        <f>862320.66/F138</f>
        <v>11497.6088</v>
      </c>
      <c r="E138" s="12">
        <f>414747.62/F138</f>
        <v>5529.968266666667</v>
      </c>
      <c r="F138" s="12">
        <f>F137</f>
        <v>75</v>
      </c>
      <c r="G138" s="12">
        <f>(C138+D138+E138)</f>
        <v>51672.91040000001</v>
      </c>
      <c r="H138" s="25">
        <v>75</v>
      </c>
      <c r="I138" s="26">
        <f t="shared" si="2"/>
        <v>3875468.2800000007</v>
      </c>
      <c r="J138" s="32">
        <f>J137</f>
        <v>484568.89</v>
      </c>
      <c r="K138" s="32">
        <f t="shared" si="3"/>
        <v>4360037.170000001</v>
      </c>
    </row>
    <row r="139" spans="1:11" ht="12.75">
      <c r="A139" s="9"/>
      <c r="B139" s="7" t="s">
        <v>147</v>
      </c>
      <c r="C139" s="12">
        <f>12614100/F139</f>
        <v>168188</v>
      </c>
      <c r="D139" s="12"/>
      <c r="E139" s="12">
        <f>211145/F139</f>
        <v>2815.266666666667</v>
      </c>
      <c r="F139" s="12">
        <f>F137</f>
        <v>75</v>
      </c>
      <c r="G139" s="12">
        <f>(C139+D139+E139)</f>
        <v>171003.26666666666</v>
      </c>
      <c r="H139" s="25">
        <v>75</v>
      </c>
      <c r="I139" s="26">
        <f t="shared" si="2"/>
        <v>12825245</v>
      </c>
      <c r="J139" s="32"/>
      <c r="K139" s="32">
        <f t="shared" si="3"/>
        <v>12825245</v>
      </c>
    </row>
    <row r="140" spans="1:11" ht="12.75">
      <c r="A140" s="9">
        <v>42</v>
      </c>
      <c r="B140" s="7" t="s">
        <v>66</v>
      </c>
      <c r="C140" s="11">
        <f>C141+C142</f>
        <v>76630.68181818182</v>
      </c>
      <c r="D140" s="11">
        <f>D141+D142</f>
        <v>8570.931818181818</v>
      </c>
      <c r="E140" s="11">
        <f>E141+E142</f>
        <v>5018.796590909091</v>
      </c>
      <c r="F140" s="11">
        <v>88</v>
      </c>
      <c r="G140" s="11">
        <f>G141+G142</f>
        <v>90220.41022727273</v>
      </c>
      <c r="H140" s="25">
        <v>88</v>
      </c>
      <c r="I140" s="11">
        <f t="shared" si="2"/>
        <v>7939396.100000001</v>
      </c>
      <c r="J140" s="29">
        <v>475525.67</v>
      </c>
      <c r="K140" s="29">
        <f t="shared" si="3"/>
        <v>8414921.770000001</v>
      </c>
    </row>
    <row r="141" spans="1:11" ht="12.75">
      <c r="A141" s="9"/>
      <c r="B141" s="7" t="s">
        <v>17</v>
      </c>
      <c r="C141" s="12">
        <f>651700/F141</f>
        <v>7405.681818181818</v>
      </c>
      <c r="D141" s="12">
        <f>754242/F141</f>
        <v>8570.931818181818</v>
      </c>
      <c r="E141" s="12">
        <f>205754.1/F141</f>
        <v>2338.114772727273</v>
      </c>
      <c r="F141" s="12">
        <f>F140</f>
        <v>88</v>
      </c>
      <c r="G141" s="12">
        <f>(C141+D141+E141)</f>
        <v>18314.72840909091</v>
      </c>
      <c r="H141" s="25">
        <v>88</v>
      </c>
      <c r="I141" s="26">
        <f t="shared" si="2"/>
        <v>1611696.1</v>
      </c>
      <c r="J141" s="32">
        <f>J140</f>
        <v>475525.67</v>
      </c>
      <c r="K141" s="32">
        <f t="shared" si="3"/>
        <v>2087221.77</v>
      </c>
    </row>
    <row r="142" spans="1:11" ht="12.75">
      <c r="A142" s="9"/>
      <c r="B142" s="7" t="s">
        <v>147</v>
      </c>
      <c r="C142" s="12">
        <f>6091800/F142</f>
        <v>69225</v>
      </c>
      <c r="D142" s="12"/>
      <c r="E142" s="12">
        <f>235900/F142</f>
        <v>2680.681818181818</v>
      </c>
      <c r="F142" s="12">
        <f>F140</f>
        <v>88</v>
      </c>
      <c r="G142" s="12">
        <f>(C142+D142+E142)</f>
        <v>71905.68181818182</v>
      </c>
      <c r="H142" s="25">
        <v>88</v>
      </c>
      <c r="I142" s="26">
        <f t="shared" si="2"/>
        <v>6327700</v>
      </c>
      <c r="J142" s="32"/>
      <c r="K142" s="32">
        <f t="shared" si="3"/>
        <v>6327700</v>
      </c>
    </row>
    <row r="143" spans="1:11" ht="12.75">
      <c r="A143" s="9">
        <v>43</v>
      </c>
      <c r="B143" s="7" t="s">
        <v>67</v>
      </c>
      <c r="C143" s="11">
        <f>C144+C145</f>
        <v>218744.44444444444</v>
      </c>
      <c r="D143" s="11">
        <f>D144+D145</f>
        <v>15146.027361111112</v>
      </c>
      <c r="E143" s="11">
        <f>E144+E145</f>
        <v>6571.347222222223</v>
      </c>
      <c r="F143" s="11">
        <v>72</v>
      </c>
      <c r="G143" s="11">
        <f>G144+G145</f>
        <v>240461.8190277778</v>
      </c>
      <c r="H143" s="25">
        <v>72</v>
      </c>
      <c r="I143" s="11">
        <f t="shared" si="2"/>
        <v>17313250.970000003</v>
      </c>
      <c r="J143" s="29">
        <v>670268.49</v>
      </c>
      <c r="K143" s="29">
        <f t="shared" si="3"/>
        <v>17983519.46</v>
      </c>
    </row>
    <row r="144" spans="1:11" ht="12.75">
      <c r="A144" s="9"/>
      <c r="B144" s="7" t="s">
        <v>17</v>
      </c>
      <c r="C144" s="12">
        <f>2781700/F144</f>
        <v>38634.72222222222</v>
      </c>
      <c r="D144" s="12">
        <f>1090513.97/F144</f>
        <v>15146.027361111112</v>
      </c>
      <c r="E144" s="12">
        <f>262637/F144</f>
        <v>3647.7361111111113</v>
      </c>
      <c r="F144" s="12">
        <f>F143</f>
        <v>72</v>
      </c>
      <c r="G144" s="12">
        <f>(C144+D144+E144)</f>
        <v>57428.48569444444</v>
      </c>
      <c r="H144" s="25">
        <v>72</v>
      </c>
      <c r="I144" s="26">
        <f t="shared" si="2"/>
        <v>4134850.9699999997</v>
      </c>
      <c r="J144" s="32">
        <f>J143</f>
        <v>670268.49</v>
      </c>
      <c r="K144" s="32">
        <f t="shared" si="3"/>
        <v>4805119.46</v>
      </c>
    </row>
    <row r="145" spans="1:11" ht="12.75">
      <c r="A145" s="9"/>
      <c r="B145" s="7" t="s">
        <v>147</v>
      </c>
      <c r="C145" s="12">
        <f>12967900/F145</f>
        <v>180109.72222222222</v>
      </c>
      <c r="D145" s="12"/>
      <c r="E145" s="12">
        <f>210500/F145</f>
        <v>2923.6111111111113</v>
      </c>
      <c r="F145" s="12">
        <f>F143</f>
        <v>72</v>
      </c>
      <c r="G145" s="12">
        <f>(C145+D145+E145)</f>
        <v>183033.33333333334</v>
      </c>
      <c r="H145" s="25">
        <v>72</v>
      </c>
      <c r="I145" s="26">
        <f t="shared" si="2"/>
        <v>13178400</v>
      </c>
      <c r="J145" s="32"/>
      <c r="K145" s="32">
        <f t="shared" si="3"/>
        <v>13178400</v>
      </c>
    </row>
    <row r="146" spans="1:11" ht="12.75">
      <c r="A146" s="9">
        <v>44</v>
      </c>
      <c r="B146" s="7" t="s">
        <v>68</v>
      </c>
      <c r="C146" s="11">
        <f>C147+C148</f>
        <v>202870</v>
      </c>
      <c r="D146" s="11">
        <f>D147+D148</f>
        <v>13755.5155</v>
      </c>
      <c r="E146" s="11">
        <f>E147+E148</f>
        <v>5604.3395</v>
      </c>
      <c r="F146" s="11">
        <v>80</v>
      </c>
      <c r="G146" s="11">
        <f>G147+G148</f>
        <v>222229.855</v>
      </c>
      <c r="H146" s="25">
        <v>80</v>
      </c>
      <c r="I146" s="11">
        <f aca="true" t="shared" si="4" ref="I146:I208">G146*H146</f>
        <v>17778388.400000002</v>
      </c>
      <c r="J146" s="29">
        <v>658937.92</v>
      </c>
      <c r="K146" s="29">
        <f aca="true" t="shared" si="5" ref="K146:K208">I146+J146</f>
        <v>18437326.320000004</v>
      </c>
    </row>
    <row r="147" spans="1:11" ht="12.75">
      <c r="A147" s="9"/>
      <c r="B147" s="7" t="s">
        <v>17</v>
      </c>
      <c r="C147" s="12">
        <f>2703100/F147</f>
        <v>33788.75</v>
      </c>
      <c r="D147" s="12">
        <f>1100441.24/F147</f>
        <v>13755.5155</v>
      </c>
      <c r="E147" s="12">
        <f>229997.16/F147</f>
        <v>2874.9645</v>
      </c>
      <c r="F147" s="12">
        <f>F146</f>
        <v>80</v>
      </c>
      <c r="G147" s="12">
        <f>(C147+D147+E147)</f>
        <v>50419.23</v>
      </c>
      <c r="H147" s="25">
        <v>80</v>
      </c>
      <c r="I147" s="26">
        <f t="shared" si="4"/>
        <v>4033538.4000000004</v>
      </c>
      <c r="J147" s="32">
        <f>J146</f>
        <v>658937.92</v>
      </c>
      <c r="K147" s="32">
        <f t="shared" si="5"/>
        <v>4692476.32</v>
      </c>
    </row>
    <row r="148" spans="1:11" ht="12.75">
      <c r="A148" s="9"/>
      <c r="B148" s="7" t="s">
        <v>147</v>
      </c>
      <c r="C148" s="12">
        <f>13526500/F148</f>
        <v>169081.25</v>
      </c>
      <c r="D148" s="12"/>
      <c r="E148" s="12">
        <f>218350/F148</f>
        <v>2729.375</v>
      </c>
      <c r="F148" s="12">
        <f>F146</f>
        <v>80</v>
      </c>
      <c r="G148" s="12">
        <f>(C148+D148+E148)</f>
        <v>171810.625</v>
      </c>
      <c r="H148" s="25">
        <v>80</v>
      </c>
      <c r="I148" s="26">
        <f t="shared" si="4"/>
        <v>13744850</v>
      </c>
      <c r="J148" s="32"/>
      <c r="K148" s="32">
        <f t="shared" si="5"/>
        <v>13744850</v>
      </c>
    </row>
    <row r="149" spans="1:11" ht="12.75">
      <c r="A149" s="9"/>
      <c r="B149" s="7"/>
      <c r="C149" s="12"/>
      <c r="D149" s="12"/>
      <c r="E149" s="12"/>
      <c r="F149" s="12"/>
      <c r="G149" s="12"/>
      <c r="H149" s="25"/>
      <c r="I149" s="26"/>
      <c r="J149" s="29"/>
      <c r="K149" s="29"/>
    </row>
    <row r="150" spans="1:11" ht="12.75">
      <c r="A150" s="9"/>
      <c r="B150" s="8" t="s">
        <v>70</v>
      </c>
      <c r="C150" s="13"/>
      <c r="D150" s="13"/>
      <c r="E150" s="13"/>
      <c r="F150" s="13"/>
      <c r="G150" s="13"/>
      <c r="H150" s="25"/>
      <c r="I150" s="26"/>
      <c r="J150" s="32"/>
      <c r="K150" s="32"/>
    </row>
    <row r="151" spans="1:11" ht="12.75">
      <c r="A151" s="9">
        <v>1</v>
      </c>
      <c r="B151" s="7" t="s">
        <v>71</v>
      </c>
      <c r="C151" s="11">
        <f>C152+C153</f>
        <v>8069.642857142857</v>
      </c>
      <c r="D151" s="11">
        <f>D152+D153</f>
        <v>0</v>
      </c>
      <c r="E151" s="11">
        <f>E152+E153</f>
        <v>31.785714285714285</v>
      </c>
      <c r="F151" s="11">
        <v>448</v>
      </c>
      <c r="G151" s="11">
        <f>G152+G153</f>
        <v>8101.428571428572</v>
      </c>
      <c r="H151" s="25">
        <v>448</v>
      </c>
      <c r="I151" s="11">
        <f t="shared" si="4"/>
        <v>3629440</v>
      </c>
      <c r="J151" s="32"/>
      <c r="K151" s="32">
        <f t="shared" si="5"/>
        <v>3629440</v>
      </c>
    </row>
    <row r="152" spans="1:11" ht="12.75">
      <c r="A152" s="9"/>
      <c r="B152" s="7" t="s">
        <v>17</v>
      </c>
      <c r="C152" s="12">
        <f>3615200/F152</f>
        <v>8069.642857142857</v>
      </c>
      <c r="D152" s="12"/>
      <c r="E152" s="12">
        <f>14240/F152</f>
        <v>31.785714285714285</v>
      </c>
      <c r="F152" s="12">
        <f>F151</f>
        <v>448</v>
      </c>
      <c r="G152" s="12">
        <f>(C152+D152+E152)</f>
        <v>8101.428571428572</v>
      </c>
      <c r="H152" s="25">
        <v>448</v>
      </c>
      <c r="I152" s="26">
        <f t="shared" si="4"/>
        <v>3629440</v>
      </c>
      <c r="J152" s="29"/>
      <c r="K152" s="29">
        <f t="shared" si="5"/>
        <v>3629440</v>
      </c>
    </row>
    <row r="153" spans="1:11" ht="12.75">
      <c r="A153" s="9"/>
      <c r="B153" s="7" t="s">
        <v>147</v>
      </c>
      <c r="C153" s="12"/>
      <c r="D153" s="12"/>
      <c r="E153" s="12"/>
      <c r="F153" s="12">
        <f>F151</f>
        <v>448</v>
      </c>
      <c r="G153" s="12"/>
      <c r="H153" s="25"/>
      <c r="I153" s="26"/>
      <c r="J153" s="32"/>
      <c r="K153" s="32">
        <f t="shared" si="5"/>
        <v>0</v>
      </c>
    </row>
    <row r="154" spans="1:11" ht="12.75">
      <c r="A154" s="9">
        <v>2</v>
      </c>
      <c r="B154" s="7" t="s">
        <v>72</v>
      </c>
      <c r="C154" s="11">
        <f>C155+C156</f>
        <v>9422.602739726028</v>
      </c>
      <c r="D154" s="11">
        <f>D155+D156</f>
        <v>0</v>
      </c>
      <c r="E154" s="11">
        <f>E155+E156</f>
        <v>64.61187214611873</v>
      </c>
      <c r="F154" s="11">
        <v>438</v>
      </c>
      <c r="G154" s="11">
        <f>G155+G156</f>
        <v>9487.214611872147</v>
      </c>
      <c r="H154" s="25">
        <v>438</v>
      </c>
      <c r="I154" s="11">
        <f t="shared" si="4"/>
        <v>4155400</v>
      </c>
      <c r="J154" s="29">
        <v>50000</v>
      </c>
      <c r="K154" s="32">
        <f t="shared" si="5"/>
        <v>4205400</v>
      </c>
    </row>
    <row r="155" spans="1:11" ht="12.75">
      <c r="A155" s="9"/>
      <c r="B155" s="7" t="s">
        <v>17</v>
      </c>
      <c r="C155" s="12">
        <f>4127100/F155</f>
        <v>9422.602739726028</v>
      </c>
      <c r="D155" s="12"/>
      <c r="E155" s="12">
        <f>28300/F155</f>
        <v>64.61187214611873</v>
      </c>
      <c r="F155" s="12">
        <f>F154</f>
        <v>438</v>
      </c>
      <c r="G155" s="12">
        <f>(C155+D155+E155)</f>
        <v>9487.214611872147</v>
      </c>
      <c r="H155" s="25">
        <v>438</v>
      </c>
      <c r="I155" s="26">
        <f t="shared" si="4"/>
        <v>4155400</v>
      </c>
      <c r="J155" s="29">
        <f>J154</f>
        <v>50000</v>
      </c>
      <c r="K155" s="29">
        <f t="shared" si="5"/>
        <v>4205400</v>
      </c>
    </row>
    <row r="156" spans="1:11" ht="12.75">
      <c r="A156" s="9"/>
      <c r="B156" s="7" t="s">
        <v>147</v>
      </c>
      <c r="C156" s="12"/>
      <c r="D156" s="12"/>
      <c r="E156" s="12"/>
      <c r="F156" s="12">
        <f>F154</f>
        <v>438</v>
      </c>
      <c r="G156" s="12"/>
      <c r="H156" s="25"/>
      <c r="I156" s="26"/>
      <c r="J156" s="32"/>
      <c r="K156" s="32">
        <f t="shared" si="5"/>
        <v>0</v>
      </c>
    </row>
    <row r="157" spans="1:11" ht="12.75">
      <c r="A157" s="9">
        <v>3</v>
      </c>
      <c r="B157" s="7" t="s">
        <v>73</v>
      </c>
      <c r="C157" s="11">
        <f>C158+C159</f>
        <v>8558.997050147493</v>
      </c>
      <c r="D157" s="11">
        <f>D158+D159</f>
        <v>21.106194690265486</v>
      </c>
      <c r="E157" s="11">
        <f>E158+E159</f>
        <v>62.486116027531956</v>
      </c>
      <c r="F157" s="11">
        <v>2034</v>
      </c>
      <c r="G157" s="11">
        <f>G158+G159</f>
        <v>8642.58936086529</v>
      </c>
      <c r="H157" s="25">
        <v>2034</v>
      </c>
      <c r="I157" s="11">
        <f t="shared" si="4"/>
        <v>17579026.759999998</v>
      </c>
      <c r="J157" s="29">
        <v>24770</v>
      </c>
      <c r="K157" s="29">
        <f t="shared" si="5"/>
        <v>17603796.759999998</v>
      </c>
    </row>
    <row r="158" spans="1:11" ht="12.75">
      <c r="A158" s="9"/>
      <c r="B158" s="7" t="s">
        <v>17</v>
      </c>
      <c r="C158" s="12">
        <f>17409000/F158</f>
        <v>8558.997050147493</v>
      </c>
      <c r="D158" s="12">
        <f>42930/F158</f>
        <v>21.106194690265486</v>
      </c>
      <c r="E158" s="12">
        <f>127096.76/F158</f>
        <v>62.486116027531956</v>
      </c>
      <c r="F158" s="12">
        <f>F157</f>
        <v>2034</v>
      </c>
      <c r="G158" s="12">
        <f>(C158+D158+E158)</f>
        <v>8642.58936086529</v>
      </c>
      <c r="H158" s="25">
        <v>2034</v>
      </c>
      <c r="I158" s="26">
        <f t="shared" si="4"/>
        <v>17579026.759999998</v>
      </c>
      <c r="J158" s="32">
        <f>J157</f>
        <v>24770</v>
      </c>
      <c r="K158" s="32">
        <f t="shared" si="5"/>
        <v>17603796.759999998</v>
      </c>
    </row>
    <row r="159" spans="1:11" ht="12.75">
      <c r="A159" s="9"/>
      <c r="B159" s="7" t="s">
        <v>147</v>
      </c>
      <c r="C159" s="12"/>
      <c r="D159" s="12"/>
      <c r="E159" s="12"/>
      <c r="F159" s="12">
        <f>F157</f>
        <v>2034</v>
      </c>
      <c r="G159" s="12"/>
      <c r="H159" s="25"/>
      <c r="I159" s="26"/>
      <c r="J159" s="32"/>
      <c r="K159" s="32"/>
    </row>
    <row r="160" spans="1:11" ht="12.75">
      <c r="A160" s="9">
        <v>4</v>
      </c>
      <c r="B160" s="7" t="s">
        <v>74</v>
      </c>
      <c r="C160" s="11">
        <f>C161+C162</f>
        <v>6891.79600886918</v>
      </c>
      <c r="D160" s="11">
        <f>D161+D162</f>
        <v>216.54398373983742</v>
      </c>
      <c r="E160" s="11">
        <f>E161+E162</f>
        <v>79.45673318551368</v>
      </c>
      <c r="F160" s="11">
        <v>1353</v>
      </c>
      <c r="G160" s="11">
        <f>G161+G162</f>
        <v>7187.79672579453</v>
      </c>
      <c r="H160" s="25">
        <v>1353</v>
      </c>
      <c r="I160" s="11">
        <f t="shared" si="4"/>
        <v>9725088.969999999</v>
      </c>
      <c r="J160" s="29">
        <v>217384.14</v>
      </c>
      <c r="K160" s="29">
        <f t="shared" si="5"/>
        <v>9942473.11</v>
      </c>
    </row>
    <row r="161" spans="1:11" ht="12.75">
      <c r="A161" s="9"/>
      <c r="B161" s="7" t="s">
        <v>17</v>
      </c>
      <c r="C161" s="12">
        <f>9324600/F161</f>
        <v>6891.79600886918</v>
      </c>
      <c r="D161" s="12">
        <f>292984.01/F161</f>
        <v>216.54398373983742</v>
      </c>
      <c r="E161" s="12">
        <f>107504.96/F161</f>
        <v>79.45673318551368</v>
      </c>
      <c r="F161" s="12">
        <f>F160</f>
        <v>1353</v>
      </c>
      <c r="G161" s="12">
        <f>(C161+D161+E161)</f>
        <v>7187.79672579453</v>
      </c>
      <c r="H161" s="25">
        <v>1353</v>
      </c>
      <c r="I161" s="26">
        <f t="shared" si="4"/>
        <v>9725088.969999999</v>
      </c>
      <c r="J161" s="32">
        <f>J160</f>
        <v>217384.14</v>
      </c>
      <c r="K161" s="32">
        <f t="shared" si="5"/>
        <v>9942473.11</v>
      </c>
    </row>
    <row r="162" spans="1:11" ht="12.75">
      <c r="A162" s="9"/>
      <c r="B162" s="7" t="s">
        <v>147</v>
      </c>
      <c r="C162" s="12"/>
      <c r="D162" s="12"/>
      <c r="E162" s="12"/>
      <c r="F162" s="12">
        <f>F160</f>
        <v>1353</v>
      </c>
      <c r="G162" s="12"/>
      <c r="H162" s="25"/>
      <c r="I162" s="26"/>
      <c r="J162" s="32"/>
      <c r="K162" s="32"/>
    </row>
    <row r="163" spans="1:11" ht="12.75">
      <c r="A163" s="9">
        <v>5</v>
      </c>
      <c r="B163" s="7" t="s">
        <v>75</v>
      </c>
      <c r="C163" s="11">
        <f>C164+C165</f>
        <v>11610.459987397606</v>
      </c>
      <c r="D163" s="11">
        <f>D164+D165</f>
        <v>367.96890989287965</v>
      </c>
      <c r="E163" s="11">
        <f>E164+E165</f>
        <v>102.96282293635791</v>
      </c>
      <c r="F163" s="11">
        <v>1587</v>
      </c>
      <c r="G163" s="11">
        <f>G164+G165</f>
        <v>12081.391720226842</v>
      </c>
      <c r="H163" s="25">
        <v>1587</v>
      </c>
      <c r="I163" s="11">
        <f t="shared" si="4"/>
        <v>19173168.66</v>
      </c>
      <c r="J163" s="29">
        <v>303129.63</v>
      </c>
      <c r="K163" s="29">
        <f t="shared" si="5"/>
        <v>19476298.29</v>
      </c>
    </row>
    <row r="164" spans="1:11" ht="12.75">
      <c r="A164" s="9"/>
      <c r="B164" s="7" t="s">
        <v>17</v>
      </c>
      <c r="C164" s="12">
        <f>18425800/F164</f>
        <v>11610.459987397606</v>
      </c>
      <c r="D164" s="12">
        <f>583966.66/F164</f>
        <v>367.96890989287965</v>
      </c>
      <c r="E164" s="12">
        <f>163402/F164</f>
        <v>102.96282293635791</v>
      </c>
      <c r="F164" s="12">
        <f>F163</f>
        <v>1587</v>
      </c>
      <c r="G164" s="12">
        <f>(C164+D164+E164)</f>
        <v>12081.391720226842</v>
      </c>
      <c r="H164" s="25">
        <v>1587</v>
      </c>
      <c r="I164" s="26">
        <f t="shared" si="4"/>
        <v>19173168.66</v>
      </c>
      <c r="J164" s="32">
        <f>J163</f>
        <v>303129.63</v>
      </c>
      <c r="K164" s="32">
        <f t="shared" si="5"/>
        <v>19476298.29</v>
      </c>
    </row>
    <row r="165" spans="1:11" ht="12.75">
      <c r="A165" s="9"/>
      <c r="B165" s="7" t="s">
        <v>147</v>
      </c>
      <c r="C165" s="12"/>
      <c r="D165" s="12"/>
      <c r="E165" s="12"/>
      <c r="F165" s="12">
        <f>F163</f>
        <v>1587</v>
      </c>
      <c r="G165" s="12"/>
      <c r="H165" s="25"/>
      <c r="I165" s="26"/>
      <c r="J165" s="32"/>
      <c r="K165" s="32"/>
    </row>
    <row r="166" spans="1:11" ht="12.75">
      <c r="A166" s="9">
        <v>6</v>
      </c>
      <c r="B166" s="7" t="s">
        <v>76</v>
      </c>
      <c r="C166" s="11">
        <f>C167+C168</f>
        <v>15951.5</v>
      </c>
      <c r="D166" s="11">
        <f>D167+D168</f>
        <v>0</v>
      </c>
      <c r="E166" s="11">
        <f>E167+E168</f>
        <v>283.508525</v>
      </c>
      <c r="F166" s="11">
        <v>400</v>
      </c>
      <c r="G166" s="11">
        <f>G167+G168</f>
        <v>16235.008525</v>
      </c>
      <c r="H166" s="25">
        <v>400</v>
      </c>
      <c r="I166" s="11">
        <f t="shared" si="4"/>
        <v>6494003.41</v>
      </c>
      <c r="J166" s="29">
        <v>10600</v>
      </c>
      <c r="K166" s="29">
        <f t="shared" si="5"/>
        <v>6504603.41</v>
      </c>
    </row>
    <row r="167" spans="1:11" ht="12.75">
      <c r="A167" s="9"/>
      <c r="B167" s="7" t="s">
        <v>17</v>
      </c>
      <c r="C167" s="12">
        <f>6380600/F167</f>
        <v>15951.5</v>
      </c>
      <c r="D167" s="12"/>
      <c r="E167" s="12">
        <f>113403.41/F167</f>
        <v>283.508525</v>
      </c>
      <c r="F167" s="12">
        <f>F166</f>
        <v>400</v>
      </c>
      <c r="G167" s="12">
        <f>(C167+D167+E167)</f>
        <v>16235.008525</v>
      </c>
      <c r="H167" s="25">
        <v>400</v>
      </c>
      <c r="I167" s="26">
        <f t="shared" si="4"/>
        <v>6494003.41</v>
      </c>
      <c r="J167" s="32">
        <f>J166</f>
        <v>10600</v>
      </c>
      <c r="K167" s="32">
        <f t="shared" si="5"/>
        <v>6504603.41</v>
      </c>
    </row>
    <row r="168" spans="1:11" ht="12.75">
      <c r="A168" s="9"/>
      <c r="B168" s="7" t="s">
        <v>147</v>
      </c>
      <c r="C168" s="12"/>
      <c r="D168" s="12"/>
      <c r="E168" s="12"/>
      <c r="F168" s="12">
        <f>F166</f>
        <v>400</v>
      </c>
      <c r="G168" s="12"/>
      <c r="H168" s="25"/>
      <c r="I168" s="26"/>
      <c r="J168" s="32"/>
      <c r="K168" s="32"/>
    </row>
    <row r="169" spans="1:11" ht="12.75">
      <c r="A169" s="9">
        <v>7</v>
      </c>
      <c r="B169" s="7" t="s">
        <v>77</v>
      </c>
      <c r="C169" s="11">
        <f>C170+C171</f>
        <v>10137.884471117779</v>
      </c>
      <c r="D169" s="11">
        <f>D170+D171</f>
        <v>319.76683420855215</v>
      </c>
      <c r="E169" s="11">
        <f>E170+E171</f>
        <v>384.6211552888222</v>
      </c>
      <c r="F169" s="11">
        <v>1333</v>
      </c>
      <c r="G169" s="11">
        <f>G170+G171</f>
        <v>10842.272460615153</v>
      </c>
      <c r="H169" s="25">
        <v>1333</v>
      </c>
      <c r="I169" s="11">
        <f t="shared" si="4"/>
        <v>14452749.19</v>
      </c>
      <c r="J169" s="29">
        <v>240827.69</v>
      </c>
      <c r="K169" s="29">
        <f t="shared" si="5"/>
        <v>14693576.879999999</v>
      </c>
    </row>
    <row r="170" spans="1:11" ht="12.75">
      <c r="A170" s="9"/>
      <c r="B170" s="7" t="s">
        <v>17</v>
      </c>
      <c r="C170" s="12">
        <f>13513800/F170</f>
        <v>10137.884471117779</v>
      </c>
      <c r="D170" s="12">
        <f>426249.19/F170</f>
        <v>319.76683420855215</v>
      </c>
      <c r="E170" s="12">
        <f>512700/F170</f>
        <v>384.6211552888222</v>
      </c>
      <c r="F170" s="12">
        <f>F169</f>
        <v>1333</v>
      </c>
      <c r="G170" s="12">
        <f>(C170+D170+E170)</f>
        <v>10842.272460615153</v>
      </c>
      <c r="H170" s="25">
        <v>1333</v>
      </c>
      <c r="I170" s="26">
        <f t="shared" si="4"/>
        <v>14452749.19</v>
      </c>
      <c r="J170" s="32">
        <f>J169</f>
        <v>240827.69</v>
      </c>
      <c r="K170" s="32">
        <f t="shared" si="5"/>
        <v>14693576.879999999</v>
      </c>
    </row>
    <row r="171" spans="1:11" ht="12.75">
      <c r="A171" s="9"/>
      <c r="B171" s="7" t="s">
        <v>147</v>
      </c>
      <c r="C171" s="12"/>
      <c r="D171" s="12"/>
      <c r="E171" s="12"/>
      <c r="F171" s="12">
        <f>F169</f>
        <v>1333</v>
      </c>
      <c r="G171" s="12"/>
      <c r="H171" s="25"/>
      <c r="I171" s="26"/>
      <c r="J171" s="32"/>
      <c r="K171" s="32"/>
    </row>
    <row r="172" spans="1:11" ht="12.75">
      <c r="A172" s="9">
        <v>8</v>
      </c>
      <c r="B172" s="7" t="s">
        <v>78</v>
      </c>
      <c r="C172" s="11">
        <f>C173+C174</f>
        <v>15337.5</v>
      </c>
      <c r="D172" s="11">
        <f>D173+D174</f>
        <v>1126.152302631579</v>
      </c>
      <c r="E172" s="11">
        <f>E173+E174</f>
        <v>757.2368421052631</v>
      </c>
      <c r="F172" s="11">
        <v>152</v>
      </c>
      <c r="G172" s="11">
        <f>G173+G174</f>
        <v>17220.88914473684</v>
      </c>
      <c r="H172" s="25">
        <v>152</v>
      </c>
      <c r="I172" s="11">
        <f t="shared" si="4"/>
        <v>2617575.15</v>
      </c>
      <c r="J172" s="29">
        <v>76297.24</v>
      </c>
      <c r="K172" s="29">
        <f t="shared" si="5"/>
        <v>2693872.39</v>
      </c>
    </row>
    <row r="173" spans="1:11" ht="12.75">
      <c r="A173" s="9"/>
      <c r="B173" s="7" t="s">
        <v>17</v>
      </c>
      <c r="C173" s="12">
        <f>2331300/F173</f>
        <v>15337.5</v>
      </c>
      <c r="D173" s="12">
        <f>171175.15/F173</f>
        <v>1126.152302631579</v>
      </c>
      <c r="E173" s="12">
        <f>115100/F173</f>
        <v>757.2368421052631</v>
      </c>
      <c r="F173" s="12">
        <f>F172</f>
        <v>152</v>
      </c>
      <c r="G173" s="12">
        <f>(C173+D173+E173)</f>
        <v>17220.88914473684</v>
      </c>
      <c r="H173" s="25">
        <v>152</v>
      </c>
      <c r="I173" s="26">
        <f t="shared" si="4"/>
        <v>2617575.15</v>
      </c>
      <c r="J173" s="32">
        <f>J172</f>
        <v>76297.24</v>
      </c>
      <c r="K173" s="32">
        <f t="shared" si="5"/>
        <v>2693872.39</v>
      </c>
    </row>
    <row r="174" spans="1:11" ht="12.75">
      <c r="A174" s="9"/>
      <c r="B174" s="7" t="s">
        <v>147</v>
      </c>
      <c r="C174" s="12"/>
      <c r="D174" s="12"/>
      <c r="E174" s="12"/>
      <c r="F174" s="12">
        <f>F172</f>
        <v>152</v>
      </c>
      <c r="G174" s="12"/>
      <c r="H174" s="25"/>
      <c r="I174" s="26"/>
      <c r="J174" s="32"/>
      <c r="K174" s="32"/>
    </row>
    <row r="175" spans="1:11" ht="12.75">
      <c r="A175" s="9"/>
      <c r="B175" s="7"/>
      <c r="C175" s="12"/>
      <c r="D175" s="12"/>
      <c r="E175" s="12"/>
      <c r="F175" s="12"/>
      <c r="G175" s="12"/>
      <c r="H175" s="25"/>
      <c r="I175" s="26"/>
      <c r="J175" s="32"/>
      <c r="K175" s="29"/>
    </row>
    <row r="176" spans="1:11" ht="12.75">
      <c r="A176" s="9"/>
      <c r="B176" s="8" t="s">
        <v>149</v>
      </c>
      <c r="C176" s="12"/>
      <c r="D176" s="12"/>
      <c r="E176" s="12"/>
      <c r="F176" s="12"/>
      <c r="G176" s="12"/>
      <c r="H176" s="25"/>
      <c r="I176" s="26"/>
      <c r="J176" s="29"/>
      <c r="K176" s="29"/>
    </row>
    <row r="177" spans="1:11" ht="12.75">
      <c r="A177" s="9"/>
      <c r="B177" s="7"/>
      <c r="C177" s="12"/>
      <c r="D177" s="12"/>
      <c r="E177" s="12"/>
      <c r="F177" s="12"/>
      <c r="G177" s="12"/>
      <c r="H177" s="25"/>
      <c r="I177" s="26"/>
      <c r="J177" s="32"/>
      <c r="K177" s="29"/>
    </row>
    <row r="178" spans="1:11" ht="12.75">
      <c r="A178" s="9" t="s">
        <v>150</v>
      </c>
      <c r="B178" s="8" t="s">
        <v>151</v>
      </c>
      <c r="C178" s="11">
        <f>C179+C180</f>
        <v>53202.205882352944</v>
      </c>
      <c r="D178" s="11">
        <f>D179+D180</f>
        <v>0</v>
      </c>
      <c r="E178" s="11">
        <f>E179+E180</f>
        <v>16224.558823529413</v>
      </c>
      <c r="F178" s="11">
        <v>136</v>
      </c>
      <c r="G178" s="11">
        <f>G179+G180</f>
        <v>69426.76470588235</v>
      </c>
      <c r="H178" s="25">
        <v>136</v>
      </c>
      <c r="I178" s="11">
        <f t="shared" si="4"/>
        <v>9442040</v>
      </c>
      <c r="J178" s="29">
        <v>20200</v>
      </c>
      <c r="K178" s="29">
        <f t="shared" si="5"/>
        <v>9462240</v>
      </c>
    </row>
    <row r="179" spans="1:11" ht="12.75">
      <c r="A179" s="9"/>
      <c r="B179" s="7" t="s">
        <v>17</v>
      </c>
      <c r="C179" s="12">
        <f>7235500/F179</f>
        <v>53202.205882352944</v>
      </c>
      <c r="D179" s="12"/>
      <c r="E179" s="12">
        <f>2206540/F179</f>
        <v>16224.558823529413</v>
      </c>
      <c r="F179" s="12">
        <f>F178</f>
        <v>136</v>
      </c>
      <c r="G179" s="12">
        <f>(C179+D179+E179)</f>
        <v>69426.76470588235</v>
      </c>
      <c r="H179" s="25">
        <v>136</v>
      </c>
      <c r="I179" s="26">
        <f t="shared" si="4"/>
        <v>9442040</v>
      </c>
      <c r="J179" s="32">
        <f>J178</f>
        <v>20200</v>
      </c>
      <c r="K179" s="32">
        <f t="shared" si="5"/>
        <v>9462240</v>
      </c>
    </row>
    <row r="180" spans="1:11" ht="12.75">
      <c r="A180" s="9"/>
      <c r="B180" s="7" t="s">
        <v>147</v>
      </c>
      <c r="C180" s="12"/>
      <c r="D180" s="12"/>
      <c r="E180" s="12"/>
      <c r="F180" s="12">
        <f>F178</f>
        <v>136</v>
      </c>
      <c r="G180" s="12"/>
      <c r="H180" s="25"/>
      <c r="I180" s="26"/>
      <c r="J180" s="32"/>
      <c r="K180" s="29"/>
    </row>
    <row r="181" spans="1:11" ht="12.75">
      <c r="A181" s="9"/>
      <c r="B181" s="7"/>
      <c r="C181" s="12"/>
      <c r="D181" s="12"/>
      <c r="E181" s="12"/>
      <c r="F181" s="12"/>
      <c r="G181" s="12"/>
      <c r="H181" s="25"/>
      <c r="I181" s="26"/>
      <c r="J181" s="29"/>
      <c r="K181" s="29"/>
    </row>
    <row r="182" spans="1:11" ht="12.75">
      <c r="A182" s="9"/>
      <c r="B182" s="8" t="s">
        <v>79</v>
      </c>
      <c r="C182" s="13"/>
      <c r="D182" s="13"/>
      <c r="E182" s="13"/>
      <c r="F182" s="13"/>
      <c r="G182" s="13"/>
      <c r="H182" s="25"/>
      <c r="I182" s="26"/>
      <c r="J182" s="32"/>
      <c r="K182" s="29"/>
    </row>
    <row r="183" spans="1:11" ht="12.75">
      <c r="A183" s="9">
        <v>1</v>
      </c>
      <c r="B183" s="7" t="s">
        <v>80</v>
      </c>
      <c r="C183" s="11">
        <f>C184+C185</f>
        <v>59288.94736842105</v>
      </c>
      <c r="D183" s="11">
        <f>D184+D185</f>
        <v>4456.863</v>
      </c>
      <c r="E183" s="11">
        <f>E184+E185</f>
        <v>1582.5186315789472</v>
      </c>
      <c r="F183" s="11">
        <v>190</v>
      </c>
      <c r="G183" s="11">
        <f>G184+G185</f>
        <v>65328.329</v>
      </c>
      <c r="H183" s="25">
        <v>190</v>
      </c>
      <c r="I183" s="11">
        <f t="shared" si="4"/>
        <v>12412382.51</v>
      </c>
      <c r="J183" s="29">
        <v>670123.43</v>
      </c>
      <c r="K183" s="29">
        <f t="shared" si="5"/>
        <v>13082505.94</v>
      </c>
    </row>
    <row r="184" spans="1:11" ht="12.75">
      <c r="A184" s="9"/>
      <c r="B184" s="7" t="s">
        <v>17</v>
      </c>
      <c r="C184" s="12">
        <f>11264900/F184</f>
        <v>59288.94736842105</v>
      </c>
      <c r="D184" s="12">
        <f>846803.97/F184</f>
        <v>4456.863</v>
      </c>
      <c r="E184" s="12">
        <f>300678.54/F184</f>
        <v>1582.5186315789472</v>
      </c>
      <c r="F184" s="12">
        <f>F183</f>
        <v>190</v>
      </c>
      <c r="G184" s="12">
        <f>(C184+D184+E184)</f>
        <v>65328.329</v>
      </c>
      <c r="H184" s="25">
        <v>190</v>
      </c>
      <c r="I184" s="26">
        <f t="shared" si="4"/>
        <v>12412382.51</v>
      </c>
      <c r="J184" s="32">
        <f>J183</f>
        <v>670123.43</v>
      </c>
      <c r="K184" s="32">
        <f t="shared" si="5"/>
        <v>13082505.94</v>
      </c>
    </row>
    <row r="185" spans="1:11" ht="12.75">
      <c r="A185" s="9"/>
      <c r="B185" s="7" t="s">
        <v>147</v>
      </c>
      <c r="C185" s="12"/>
      <c r="D185" s="12"/>
      <c r="E185" s="12"/>
      <c r="F185" s="12">
        <f>F183</f>
        <v>190</v>
      </c>
      <c r="G185" s="12"/>
      <c r="H185" s="25"/>
      <c r="I185" s="26"/>
      <c r="J185" s="32"/>
      <c r="K185" s="32"/>
    </row>
    <row r="186" spans="1:11" ht="12.75">
      <c r="A186" s="9">
        <v>2</v>
      </c>
      <c r="B186" s="7" t="s">
        <v>81</v>
      </c>
      <c r="C186" s="11">
        <f>C187+C188</f>
        <v>59377.551020408166</v>
      </c>
      <c r="D186" s="11">
        <f>D187+D188</f>
        <v>4001.6969387755103</v>
      </c>
      <c r="E186" s="11">
        <f>E187+E188</f>
        <v>1465.985357142857</v>
      </c>
      <c r="F186" s="11">
        <v>196</v>
      </c>
      <c r="G186" s="11">
        <f>G187+G188</f>
        <v>64845.23331632653</v>
      </c>
      <c r="H186" s="25">
        <v>196</v>
      </c>
      <c r="I186" s="11">
        <f t="shared" si="4"/>
        <v>12709665.73</v>
      </c>
      <c r="J186" s="29">
        <v>331622.18</v>
      </c>
      <c r="K186" s="29">
        <f t="shared" si="5"/>
        <v>13041287.91</v>
      </c>
    </row>
    <row r="187" spans="1:11" ht="12.75">
      <c r="A187" s="9"/>
      <c r="B187" s="7" t="s">
        <v>17</v>
      </c>
      <c r="C187" s="12">
        <f>11638000/F187</f>
        <v>59377.551020408166</v>
      </c>
      <c r="D187" s="12">
        <f>784332.6/F187</f>
        <v>4001.6969387755103</v>
      </c>
      <c r="E187" s="12">
        <f>287333.13/F187</f>
        <v>1465.985357142857</v>
      </c>
      <c r="F187" s="12">
        <f>F186</f>
        <v>196</v>
      </c>
      <c r="G187" s="12">
        <f>(C187+D187+E187)</f>
        <v>64845.23331632653</v>
      </c>
      <c r="H187" s="25">
        <v>196</v>
      </c>
      <c r="I187" s="26">
        <f t="shared" si="4"/>
        <v>12709665.73</v>
      </c>
      <c r="J187" s="32">
        <f>J186</f>
        <v>331622.18</v>
      </c>
      <c r="K187" s="32">
        <f t="shared" si="5"/>
        <v>13041287.91</v>
      </c>
    </row>
    <row r="188" spans="1:11" ht="12.75">
      <c r="A188" s="9"/>
      <c r="B188" s="7" t="s">
        <v>147</v>
      </c>
      <c r="C188" s="12"/>
      <c r="D188" s="12"/>
      <c r="E188" s="12"/>
      <c r="F188" s="12">
        <f>F186</f>
        <v>196</v>
      </c>
      <c r="G188" s="12"/>
      <c r="H188" s="25"/>
      <c r="I188" s="26"/>
      <c r="J188" s="29"/>
      <c r="K188" s="29"/>
    </row>
    <row r="189" spans="1:11" ht="12.75">
      <c r="A189" s="9">
        <v>3</v>
      </c>
      <c r="B189" s="7" t="s">
        <v>82</v>
      </c>
      <c r="C189" s="11">
        <f>C190+C191</f>
        <v>54477.95275590551</v>
      </c>
      <c r="D189" s="11">
        <f>D190+D191</f>
        <v>3201.9709842519687</v>
      </c>
      <c r="E189" s="11">
        <f>E190+E191</f>
        <v>1286.0594881889763</v>
      </c>
      <c r="F189" s="11">
        <v>254</v>
      </c>
      <c r="G189" s="11">
        <f>G190+G191</f>
        <v>58965.98322834646</v>
      </c>
      <c r="H189" s="25">
        <v>254</v>
      </c>
      <c r="I189" s="11">
        <f t="shared" si="4"/>
        <v>14977359.74</v>
      </c>
      <c r="J189" s="29">
        <v>609100.03</v>
      </c>
      <c r="K189" s="29">
        <f t="shared" si="5"/>
        <v>15586459.77</v>
      </c>
    </row>
    <row r="190" spans="1:11" ht="12.75">
      <c r="A190" s="9"/>
      <c r="B190" s="7" t="s">
        <v>17</v>
      </c>
      <c r="C190" s="12">
        <f>13837400/F190</f>
        <v>54477.95275590551</v>
      </c>
      <c r="D190" s="12">
        <f>813300.63/F190</f>
        <v>3201.9709842519687</v>
      </c>
      <c r="E190" s="12">
        <f>326659.11/F190</f>
        <v>1286.0594881889763</v>
      </c>
      <c r="F190" s="12">
        <f>F189</f>
        <v>254</v>
      </c>
      <c r="G190" s="12">
        <f>(C190+D190+E190)</f>
        <v>58965.98322834646</v>
      </c>
      <c r="H190" s="25">
        <v>254</v>
      </c>
      <c r="I190" s="26">
        <f t="shared" si="4"/>
        <v>14977359.74</v>
      </c>
      <c r="J190" s="32">
        <f>J189</f>
        <v>609100.03</v>
      </c>
      <c r="K190" s="32">
        <f t="shared" si="5"/>
        <v>15586459.77</v>
      </c>
    </row>
    <row r="191" spans="1:11" ht="12.75">
      <c r="A191" s="9"/>
      <c r="B191" s="7" t="s">
        <v>147</v>
      </c>
      <c r="C191" s="12"/>
      <c r="D191" s="12"/>
      <c r="E191" s="12"/>
      <c r="F191" s="12">
        <f>F189</f>
        <v>254</v>
      </c>
      <c r="G191" s="12"/>
      <c r="H191" s="25"/>
      <c r="I191" s="26"/>
      <c r="J191" s="32"/>
      <c r="K191" s="32"/>
    </row>
    <row r="192" spans="1:11" ht="12.75">
      <c r="A192" s="9">
        <v>4</v>
      </c>
      <c r="B192" s="7" t="s">
        <v>83</v>
      </c>
      <c r="C192" s="11">
        <f>C193+C194</f>
        <v>59240.40404040404</v>
      </c>
      <c r="D192" s="11">
        <f>D193+D194</f>
        <v>5495.763838383838</v>
      </c>
      <c r="E192" s="11">
        <f>E193+E194</f>
        <v>3799.9038383838383</v>
      </c>
      <c r="F192" s="11">
        <v>99</v>
      </c>
      <c r="G192" s="11">
        <f>G193+G194</f>
        <v>68536.07171717171</v>
      </c>
      <c r="H192" s="25">
        <v>99</v>
      </c>
      <c r="I192" s="11">
        <f t="shared" si="4"/>
        <v>6785071.1</v>
      </c>
      <c r="J192" s="29">
        <v>515749.75</v>
      </c>
      <c r="K192" s="29">
        <f t="shared" si="5"/>
        <v>7300820.85</v>
      </c>
    </row>
    <row r="193" spans="1:11" ht="12.75">
      <c r="A193" s="9"/>
      <c r="B193" s="7" t="s">
        <v>17</v>
      </c>
      <c r="C193" s="12">
        <f>5864800/F193</f>
        <v>59240.40404040404</v>
      </c>
      <c r="D193" s="12">
        <f>544080.62/F193</f>
        <v>5495.763838383838</v>
      </c>
      <c r="E193" s="12">
        <f>376190.48/F193</f>
        <v>3799.9038383838383</v>
      </c>
      <c r="F193" s="12">
        <f>F192</f>
        <v>99</v>
      </c>
      <c r="G193" s="12">
        <f>(C193+D193+E193)</f>
        <v>68536.07171717171</v>
      </c>
      <c r="H193" s="25">
        <v>99</v>
      </c>
      <c r="I193" s="26">
        <f t="shared" si="4"/>
        <v>6785071.1</v>
      </c>
      <c r="J193" s="32">
        <f>J192</f>
        <v>515749.75</v>
      </c>
      <c r="K193" s="32">
        <f t="shared" si="5"/>
        <v>7300820.85</v>
      </c>
    </row>
    <row r="194" spans="1:11" ht="12.75">
      <c r="A194" s="9"/>
      <c r="B194" s="7" t="s">
        <v>147</v>
      </c>
      <c r="C194" s="12"/>
      <c r="D194" s="12"/>
      <c r="E194" s="12"/>
      <c r="F194" s="12">
        <f>F192</f>
        <v>99</v>
      </c>
      <c r="G194" s="12"/>
      <c r="H194" s="25"/>
      <c r="I194" s="26"/>
      <c r="J194" s="32"/>
      <c r="K194" s="32"/>
    </row>
    <row r="195" spans="1:11" ht="12.75">
      <c r="A195" s="9">
        <v>5</v>
      </c>
      <c r="B195" s="7" t="s">
        <v>84</v>
      </c>
      <c r="C195" s="11">
        <f>C196+C197</f>
        <v>52657.943925233645</v>
      </c>
      <c r="D195" s="11">
        <f>D196+D197</f>
        <v>5839.562242990654</v>
      </c>
      <c r="E195" s="11">
        <f>E196+E197</f>
        <v>3975.1639252336445</v>
      </c>
      <c r="F195" s="11">
        <v>107</v>
      </c>
      <c r="G195" s="11">
        <f>G196+G197</f>
        <v>62472.67009345794</v>
      </c>
      <c r="H195" s="25">
        <v>107</v>
      </c>
      <c r="I195" s="11">
        <f t="shared" si="4"/>
        <v>6684575.7</v>
      </c>
      <c r="J195" s="29">
        <v>391094.59</v>
      </c>
      <c r="K195" s="29">
        <f t="shared" si="5"/>
        <v>7075670.29</v>
      </c>
    </row>
    <row r="196" spans="1:11" ht="12.75">
      <c r="A196" s="9"/>
      <c r="B196" s="7" t="s">
        <v>17</v>
      </c>
      <c r="C196" s="12">
        <f>5634400/F196</f>
        <v>52657.943925233645</v>
      </c>
      <c r="D196" s="12">
        <f>624833.16/F196</f>
        <v>5839.562242990654</v>
      </c>
      <c r="E196" s="12">
        <f>425342.54/F196</f>
        <v>3975.1639252336445</v>
      </c>
      <c r="F196" s="12">
        <f>F195</f>
        <v>107</v>
      </c>
      <c r="G196" s="12">
        <f>(C196+D196+E196)</f>
        <v>62472.67009345794</v>
      </c>
      <c r="H196" s="25">
        <v>107</v>
      </c>
      <c r="I196" s="26">
        <f t="shared" si="4"/>
        <v>6684575.7</v>
      </c>
      <c r="J196" s="32">
        <f>J195</f>
        <v>391094.59</v>
      </c>
      <c r="K196" s="32">
        <f t="shared" si="5"/>
        <v>7075670.29</v>
      </c>
    </row>
    <row r="197" spans="1:11" ht="12.75">
      <c r="A197" s="9"/>
      <c r="B197" s="7" t="s">
        <v>147</v>
      </c>
      <c r="C197" s="12"/>
      <c r="D197" s="12"/>
      <c r="E197" s="12"/>
      <c r="F197" s="12">
        <f>F195</f>
        <v>107</v>
      </c>
      <c r="G197" s="12"/>
      <c r="H197" s="25"/>
      <c r="I197" s="26"/>
      <c r="J197" s="32"/>
      <c r="K197" s="32"/>
    </row>
    <row r="198" spans="1:11" ht="12.75">
      <c r="A198" s="9">
        <v>6</v>
      </c>
      <c r="B198" s="7" t="s">
        <v>85</v>
      </c>
      <c r="C198" s="11">
        <f>C199+C200</f>
        <v>52562.99212598425</v>
      </c>
      <c r="D198" s="11">
        <f>D199+D200</f>
        <v>4691.115511811024</v>
      </c>
      <c r="E198" s="11">
        <f>E199+E200</f>
        <v>1002.3318503937008</v>
      </c>
      <c r="F198" s="11">
        <v>254</v>
      </c>
      <c r="G198" s="11">
        <f>G199+G200</f>
        <v>58256.43948818898</v>
      </c>
      <c r="H198" s="25">
        <v>254</v>
      </c>
      <c r="I198" s="11">
        <f t="shared" si="4"/>
        <v>14797135.63</v>
      </c>
      <c r="J198" s="29">
        <v>1016340.88</v>
      </c>
      <c r="K198" s="29">
        <f t="shared" si="5"/>
        <v>15813476.510000002</v>
      </c>
    </row>
    <row r="199" spans="1:11" ht="12.75">
      <c r="A199" s="9"/>
      <c r="B199" s="7" t="s">
        <v>17</v>
      </c>
      <c r="C199" s="12">
        <f>13351000/F199</f>
        <v>52562.99212598425</v>
      </c>
      <c r="D199" s="12">
        <f>1191543.34/F199</f>
        <v>4691.115511811024</v>
      </c>
      <c r="E199" s="12">
        <f>254592.29/F199</f>
        <v>1002.3318503937008</v>
      </c>
      <c r="F199" s="12">
        <f>F198</f>
        <v>254</v>
      </c>
      <c r="G199" s="12">
        <f>(C199+D199+E199)</f>
        <v>58256.43948818898</v>
      </c>
      <c r="H199" s="25">
        <v>254</v>
      </c>
      <c r="I199" s="26">
        <f t="shared" si="4"/>
        <v>14797135.63</v>
      </c>
      <c r="J199" s="32">
        <f>J198</f>
        <v>1016340.88</v>
      </c>
      <c r="K199" s="32">
        <f t="shared" si="5"/>
        <v>15813476.510000002</v>
      </c>
    </row>
    <row r="200" spans="1:11" ht="12.75">
      <c r="A200" s="9"/>
      <c r="B200" s="7" t="s">
        <v>147</v>
      </c>
      <c r="C200" s="12"/>
      <c r="D200" s="12"/>
      <c r="E200" s="12"/>
      <c r="F200" s="12">
        <f>F198</f>
        <v>254</v>
      </c>
      <c r="G200" s="12"/>
      <c r="H200" s="25"/>
      <c r="I200" s="26"/>
      <c r="J200" s="32"/>
      <c r="K200" s="32"/>
    </row>
    <row r="201" spans="1:11" ht="12.75">
      <c r="A201" s="9">
        <v>7</v>
      </c>
      <c r="B201" s="7" t="s">
        <v>86</v>
      </c>
      <c r="C201" s="11">
        <f>C202+C203</f>
        <v>60654.807692307695</v>
      </c>
      <c r="D201" s="11">
        <f>D202+D203</f>
        <v>4236.927548076923</v>
      </c>
      <c r="E201" s="11">
        <f>E202+E203</f>
        <v>1258.4757692307692</v>
      </c>
      <c r="F201" s="11">
        <v>208</v>
      </c>
      <c r="G201" s="11">
        <f>G202+G203</f>
        <v>66150.21100961539</v>
      </c>
      <c r="H201" s="25">
        <v>208</v>
      </c>
      <c r="I201" s="11">
        <f t="shared" si="4"/>
        <v>13759243.89</v>
      </c>
      <c r="J201" s="29">
        <v>500820.07</v>
      </c>
      <c r="K201" s="29">
        <f t="shared" si="5"/>
        <v>14260063.96</v>
      </c>
    </row>
    <row r="202" spans="1:11" ht="12.75">
      <c r="A202" s="9"/>
      <c r="B202" s="7" t="s">
        <v>17</v>
      </c>
      <c r="C202" s="12">
        <f>12616200/F202</f>
        <v>60654.807692307695</v>
      </c>
      <c r="D202" s="12">
        <f>881280.93/F202</f>
        <v>4236.927548076923</v>
      </c>
      <c r="E202" s="12">
        <f>261762.96/F202</f>
        <v>1258.4757692307692</v>
      </c>
      <c r="F202" s="12">
        <f>F201</f>
        <v>208</v>
      </c>
      <c r="G202" s="12">
        <f>(C202+D202+E202)</f>
        <v>66150.21100961539</v>
      </c>
      <c r="H202" s="25">
        <v>208</v>
      </c>
      <c r="I202" s="26">
        <f t="shared" si="4"/>
        <v>13759243.89</v>
      </c>
      <c r="J202" s="32">
        <f>J201</f>
        <v>500820.07</v>
      </c>
      <c r="K202" s="32">
        <f t="shared" si="5"/>
        <v>14260063.96</v>
      </c>
    </row>
    <row r="203" spans="1:11" ht="12.75">
      <c r="A203" s="9"/>
      <c r="B203" s="7" t="s">
        <v>147</v>
      </c>
      <c r="C203" s="12"/>
      <c r="D203" s="12"/>
      <c r="E203" s="12"/>
      <c r="F203" s="12">
        <f>F201</f>
        <v>208</v>
      </c>
      <c r="G203" s="12"/>
      <c r="H203" s="25"/>
      <c r="I203" s="26"/>
      <c r="J203" s="29"/>
      <c r="K203" s="29"/>
    </row>
    <row r="204" spans="1:11" ht="12.75">
      <c r="A204" s="9">
        <v>8</v>
      </c>
      <c r="B204" s="7" t="s">
        <v>87</v>
      </c>
      <c r="C204" s="11">
        <f>C205+C206</f>
        <v>51533.884297520664</v>
      </c>
      <c r="D204" s="11">
        <f>D205+D206</f>
        <v>5932.384462809918</v>
      </c>
      <c r="E204" s="11">
        <f>E205+E206</f>
        <v>1828.5461983471075</v>
      </c>
      <c r="F204" s="11">
        <v>121</v>
      </c>
      <c r="G204" s="11">
        <f>G205+G206</f>
        <v>59294.81495867769</v>
      </c>
      <c r="H204" s="25">
        <v>121</v>
      </c>
      <c r="I204" s="11">
        <f t="shared" si="4"/>
        <v>7174672.610000001</v>
      </c>
      <c r="J204" s="29">
        <v>434203.46</v>
      </c>
      <c r="K204" s="29">
        <f t="shared" si="5"/>
        <v>7608876.070000001</v>
      </c>
    </row>
    <row r="205" spans="1:11" ht="12.75">
      <c r="A205" s="9"/>
      <c r="B205" s="7" t="s">
        <v>17</v>
      </c>
      <c r="C205" s="12">
        <f>6235600/F205</f>
        <v>51533.884297520664</v>
      </c>
      <c r="D205" s="12">
        <f>717818.52/F205</f>
        <v>5932.384462809918</v>
      </c>
      <c r="E205" s="12">
        <f>221254.09/F205</f>
        <v>1828.5461983471075</v>
      </c>
      <c r="F205" s="12">
        <f>F204</f>
        <v>121</v>
      </c>
      <c r="G205" s="12">
        <f>(C205+D205+E205)</f>
        <v>59294.81495867769</v>
      </c>
      <c r="H205" s="25">
        <v>121</v>
      </c>
      <c r="I205" s="26">
        <f t="shared" si="4"/>
        <v>7174672.610000001</v>
      </c>
      <c r="J205" s="32">
        <f>J204</f>
        <v>434203.46</v>
      </c>
      <c r="K205" s="32">
        <f t="shared" si="5"/>
        <v>7608876.070000001</v>
      </c>
    </row>
    <row r="206" spans="1:11" ht="12.75">
      <c r="A206" s="9"/>
      <c r="B206" s="7" t="s">
        <v>147</v>
      </c>
      <c r="C206" s="12"/>
      <c r="D206" s="12"/>
      <c r="E206" s="12"/>
      <c r="F206" s="12">
        <f>F204</f>
        <v>121</v>
      </c>
      <c r="G206" s="12"/>
      <c r="H206" s="25"/>
      <c r="I206" s="26"/>
      <c r="J206" s="32"/>
      <c r="K206" s="32"/>
    </row>
    <row r="207" spans="1:11" ht="12.75">
      <c r="A207" s="9">
        <v>9</v>
      </c>
      <c r="B207" s="7" t="s">
        <v>88</v>
      </c>
      <c r="C207" s="11">
        <f>C208+C209</f>
        <v>61686.58536585366</v>
      </c>
      <c r="D207" s="11">
        <f>D208+D209</f>
        <v>5315.598170731707</v>
      </c>
      <c r="E207" s="11">
        <f>E208+E209</f>
        <v>2327.3062195121947</v>
      </c>
      <c r="F207" s="11">
        <v>82</v>
      </c>
      <c r="G207" s="11">
        <f>G208+G209</f>
        <v>69329.48975609755</v>
      </c>
      <c r="H207" s="25">
        <v>82</v>
      </c>
      <c r="I207" s="11">
        <f t="shared" si="4"/>
        <v>5685018.159999999</v>
      </c>
      <c r="J207" s="29">
        <v>228760.08</v>
      </c>
      <c r="K207" s="29">
        <f t="shared" si="5"/>
        <v>5913778.239999999</v>
      </c>
    </row>
    <row r="208" spans="1:11" ht="12.75">
      <c r="A208" s="9"/>
      <c r="B208" s="7" t="s">
        <v>17</v>
      </c>
      <c r="C208" s="12">
        <f>5058300/F208</f>
        <v>61686.58536585366</v>
      </c>
      <c r="D208" s="12">
        <f>435879.05/F208</f>
        <v>5315.598170731707</v>
      </c>
      <c r="E208" s="12">
        <f>190839.11/F208</f>
        <v>2327.3062195121947</v>
      </c>
      <c r="F208" s="12">
        <f>F207</f>
        <v>82</v>
      </c>
      <c r="G208" s="12">
        <f>(C208+D208+E208)</f>
        <v>69329.48975609755</v>
      </c>
      <c r="H208" s="25">
        <v>82</v>
      </c>
      <c r="I208" s="26">
        <f t="shared" si="4"/>
        <v>5685018.159999999</v>
      </c>
      <c r="J208" s="32">
        <f>J207</f>
        <v>228760.08</v>
      </c>
      <c r="K208" s="32">
        <f t="shared" si="5"/>
        <v>5913778.239999999</v>
      </c>
    </row>
    <row r="209" spans="1:11" ht="12.75">
      <c r="A209" s="9"/>
      <c r="B209" s="7" t="s">
        <v>147</v>
      </c>
      <c r="C209" s="12"/>
      <c r="D209" s="12"/>
      <c r="E209" s="12"/>
      <c r="F209" s="12">
        <f>F207</f>
        <v>82</v>
      </c>
      <c r="G209" s="12"/>
      <c r="H209" s="25"/>
      <c r="I209" s="26"/>
      <c r="J209" s="32"/>
      <c r="K209" s="32"/>
    </row>
    <row r="210" spans="1:11" ht="12.75">
      <c r="A210" s="9">
        <v>10</v>
      </c>
      <c r="B210" s="7" t="s">
        <v>89</v>
      </c>
      <c r="C210" s="11">
        <f>C211+C212</f>
        <v>54280</v>
      </c>
      <c r="D210" s="11">
        <f>D211+D212</f>
        <v>5311.353684210526</v>
      </c>
      <c r="E210" s="11">
        <f>E211+E212</f>
        <v>1196.826052631579</v>
      </c>
      <c r="F210" s="11">
        <v>190</v>
      </c>
      <c r="G210" s="11">
        <f>G211+G212</f>
        <v>60788.1797368421</v>
      </c>
      <c r="H210" s="25">
        <v>190</v>
      </c>
      <c r="I210" s="11">
        <f aca="true" t="shared" si="6" ref="I210:I273">G210*H210</f>
        <v>11549754.15</v>
      </c>
      <c r="J210" s="29">
        <v>657090.53</v>
      </c>
      <c r="K210" s="29">
        <f aca="true" t="shared" si="7" ref="K210:K273">I210+J210</f>
        <v>12206844.68</v>
      </c>
    </row>
    <row r="211" spans="1:11" ht="12.75">
      <c r="A211" s="9"/>
      <c r="B211" s="7" t="s">
        <v>17</v>
      </c>
      <c r="C211" s="12">
        <f>10313200/F211</f>
        <v>54280</v>
      </c>
      <c r="D211" s="12">
        <f>1009157.2/F211</f>
        <v>5311.353684210526</v>
      </c>
      <c r="E211" s="12">
        <f>227396.95/F211</f>
        <v>1196.826052631579</v>
      </c>
      <c r="F211" s="12">
        <f>F210</f>
        <v>190</v>
      </c>
      <c r="G211" s="12">
        <f>(C211+D211+E211)</f>
        <v>60788.1797368421</v>
      </c>
      <c r="H211" s="25">
        <v>190</v>
      </c>
      <c r="I211" s="26">
        <f t="shared" si="6"/>
        <v>11549754.15</v>
      </c>
      <c r="J211" s="32">
        <f>J210</f>
        <v>657090.53</v>
      </c>
      <c r="K211" s="32">
        <f t="shared" si="7"/>
        <v>12206844.68</v>
      </c>
    </row>
    <row r="212" spans="1:11" ht="12.75">
      <c r="A212" s="9"/>
      <c r="B212" s="7" t="s">
        <v>147</v>
      </c>
      <c r="C212" s="12"/>
      <c r="D212" s="12"/>
      <c r="E212" s="12"/>
      <c r="F212" s="12">
        <f>F210</f>
        <v>190</v>
      </c>
      <c r="G212" s="12"/>
      <c r="H212" s="25"/>
      <c r="I212" s="26"/>
      <c r="J212" s="32"/>
      <c r="K212" s="32"/>
    </row>
    <row r="213" spans="1:11" ht="12.75">
      <c r="A213" s="9">
        <v>11</v>
      </c>
      <c r="B213" s="7" t="s">
        <v>90</v>
      </c>
      <c r="C213" s="11">
        <f>C214+C215</f>
        <v>78393.24324324324</v>
      </c>
      <c r="D213" s="11">
        <f>D214+D215</f>
        <v>4481.597702702702</v>
      </c>
      <c r="E213" s="11">
        <f>E214+E215</f>
        <v>2319.8156756756753</v>
      </c>
      <c r="F213" s="11">
        <v>74</v>
      </c>
      <c r="G213" s="11">
        <f>G214+G215</f>
        <v>85194.65662162162</v>
      </c>
      <c r="H213" s="25">
        <v>74</v>
      </c>
      <c r="I213" s="11">
        <f t="shared" si="6"/>
        <v>6304404.59</v>
      </c>
      <c r="J213" s="29">
        <v>259988.23</v>
      </c>
      <c r="K213" s="29">
        <f t="shared" si="7"/>
        <v>6564392.82</v>
      </c>
    </row>
    <row r="214" spans="1:11" ht="12.75">
      <c r="A214" s="9"/>
      <c r="B214" s="7" t="s">
        <v>17</v>
      </c>
      <c r="C214" s="12">
        <f>5801100/F214</f>
        <v>78393.24324324324</v>
      </c>
      <c r="D214" s="12">
        <f>331638.23/F214</f>
        <v>4481.597702702702</v>
      </c>
      <c r="E214" s="12">
        <f>171666.36/F214</f>
        <v>2319.8156756756753</v>
      </c>
      <c r="F214" s="12">
        <f>F213</f>
        <v>74</v>
      </c>
      <c r="G214" s="12">
        <f>(C214+D214+E214)</f>
        <v>85194.65662162162</v>
      </c>
      <c r="H214" s="25">
        <v>74</v>
      </c>
      <c r="I214" s="26">
        <f t="shared" si="6"/>
        <v>6304404.59</v>
      </c>
      <c r="J214" s="32">
        <f>J213</f>
        <v>259988.23</v>
      </c>
      <c r="K214" s="32">
        <f t="shared" si="7"/>
        <v>6564392.82</v>
      </c>
    </row>
    <row r="215" spans="1:11" ht="12.75">
      <c r="A215" s="9"/>
      <c r="B215" s="7" t="s">
        <v>147</v>
      </c>
      <c r="C215" s="12"/>
      <c r="D215" s="12"/>
      <c r="E215" s="12"/>
      <c r="F215" s="12">
        <f>F213</f>
        <v>74</v>
      </c>
      <c r="G215" s="12"/>
      <c r="H215" s="25"/>
      <c r="I215" s="26"/>
      <c r="J215" s="32"/>
      <c r="K215" s="32"/>
    </row>
    <row r="216" spans="1:11" ht="12.75">
      <c r="A216" s="9">
        <v>12</v>
      </c>
      <c r="B216" s="7" t="s">
        <v>91</v>
      </c>
      <c r="C216" s="11">
        <f>C217+C218</f>
        <v>52225.42372881356</v>
      </c>
      <c r="D216" s="11">
        <f>D217+D218</f>
        <v>4671.8550000000005</v>
      </c>
      <c r="E216" s="11">
        <f>E217+E218</f>
        <v>1500.414406779661</v>
      </c>
      <c r="F216" s="11">
        <v>118</v>
      </c>
      <c r="G216" s="11">
        <f>G217+G218</f>
        <v>58397.693135593225</v>
      </c>
      <c r="H216" s="25">
        <v>118</v>
      </c>
      <c r="I216" s="11">
        <f t="shared" si="6"/>
        <v>6890927.790000001</v>
      </c>
      <c r="J216" s="29">
        <v>272678.54</v>
      </c>
      <c r="K216" s="29">
        <f t="shared" si="7"/>
        <v>7163606.330000001</v>
      </c>
    </row>
    <row r="217" spans="1:11" ht="12.75">
      <c r="A217" s="9"/>
      <c r="B217" s="7" t="s">
        <v>17</v>
      </c>
      <c r="C217" s="12">
        <f>6162600/F217</f>
        <v>52225.42372881356</v>
      </c>
      <c r="D217" s="12">
        <f>551278.89/F217</f>
        <v>4671.8550000000005</v>
      </c>
      <c r="E217" s="12">
        <f>177048.9/F217</f>
        <v>1500.414406779661</v>
      </c>
      <c r="F217" s="12">
        <f>F216</f>
        <v>118</v>
      </c>
      <c r="G217" s="12">
        <f>(C217+D217+E217)</f>
        <v>58397.693135593225</v>
      </c>
      <c r="H217" s="25">
        <v>118</v>
      </c>
      <c r="I217" s="26">
        <f t="shared" si="6"/>
        <v>6890927.790000001</v>
      </c>
      <c r="J217" s="32">
        <f>J216</f>
        <v>272678.54</v>
      </c>
      <c r="K217" s="32">
        <f t="shared" si="7"/>
        <v>7163606.330000001</v>
      </c>
    </row>
    <row r="218" spans="1:11" ht="12.75">
      <c r="A218" s="9"/>
      <c r="B218" s="7" t="s">
        <v>147</v>
      </c>
      <c r="C218" s="12"/>
      <c r="D218" s="12"/>
      <c r="E218" s="12"/>
      <c r="F218" s="12">
        <f>F216</f>
        <v>118</v>
      </c>
      <c r="G218" s="12"/>
      <c r="H218" s="25"/>
      <c r="I218" s="26"/>
      <c r="J218" s="29"/>
      <c r="K218" s="29"/>
    </row>
    <row r="219" spans="1:11" ht="12.75">
      <c r="A219" s="9">
        <v>13</v>
      </c>
      <c r="B219" s="7" t="s">
        <v>92</v>
      </c>
      <c r="C219" s="11">
        <f>C220+C221</f>
        <v>48828.125</v>
      </c>
      <c r="D219" s="11">
        <f>D220+D221</f>
        <v>4576.81509375</v>
      </c>
      <c r="E219" s="11">
        <f>E220+E221</f>
        <v>977.5151562499999</v>
      </c>
      <c r="F219" s="11">
        <v>320</v>
      </c>
      <c r="G219" s="11">
        <f>G220+G221</f>
        <v>54382.455250000006</v>
      </c>
      <c r="H219" s="25">
        <v>320</v>
      </c>
      <c r="I219" s="11">
        <f t="shared" si="6"/>
        <v>17402385.680000003</v>
      </c>
      <c r="J219" s="29">
        <v>949720</v>
      </c>
      <c r="K219" s="29">
        <f t="shared" si="7"/>
        <v>18352105.680000003</v>
      </c>
    </row>
    <row r="220" spans="1:11" ht="12.75">
      <c r="A220" s="9"/>
      <c r="B220" s="7" t="s">
        <v>17</v>
      </c>
      <c r="C220" s="12">
        <f>15625000/F220</f>
        <v>48828.125</v>
      </c>
      <c r="D220" s="12">
        <f>1464580.83/F220</f>
        <v>4576.81509375</v>
      </c>
      <c r="E220" s="12">
        <f>312804.85/F220</f>
        <v>977.5151562499999</v>
      </c>
      <c r="F220" s="12">
        <f>F219</f>
        <v>320</v>
      </c>
      <c r="G220" s="12">
        <f>(C220+D220+E220)</f>
        <v>54382.455250000006</v>
      </c>
      <c r="H220" s="25">
        <v>320</v>
      </c>
      <c r="I220" s="26">
        <f t="shared" si="6"/>
        <v>17402385.680000003</v>
      </c>
      <c r="J220" s="32">
        <f>J219</f>
        <v>949720</v>
      </c>
      <c r="K220" s="32">
        <f t="shared" si="7"/>
        <v>18352105.680000003</v>
      </c>
    </row>
    <row r="221" spans="1:11" ht="12.75">
      <c r="A221" s="9"/>
      <c r="B221" s="7" t="s">
        <v>147</v>
      </c>
      <c r="C221" s="12"/>
      <c r="D221" s="12"/>
      <c r="E221" s="12"/>
      <c r="F221" s="12">
        <f>F219</f>
        <v>320</v>
      </c>
      <c r="G221" s="12"/>
      <c r="H221" s="25"/>
      <c r="I221" s="26"/>
      <c r="J221" s="32"/>
      <c r="K221" s="32"/>
    </row>
    <row r="222" spans="1:11" ht="12.75">
      <c r="A222" s="9">
        <v>14</v>
      </c>
      <c r="B222" s="7" t="s">
        <v>93</v>
      </c>
      <c r="C222" s="11">
        <f>C223+C224</f>
        <v>53510.833333333336</v>
      </c>
      <c r="D222" s="11">
        <f>D223+D224</f>
        <v>4137.0140833333335</v>
      </c>
      <c r="E222" s="11">
        <f>E223+E224</f>
        <v>1685.7920000000001</v>
      </c>
      <c r="F222" s="11">
        <v>120</v>
      </c>
      <c r="G222" s="11">
        <f>G223+G224</f>
        <v>59333.63941666667</v>
      </c>
      <c r="H222" s="25">
        <v>120</v>
      </c>
      <c r="I222" s="11">
        <f t="shared" si="6"/>
        <v>7120036.73</v>
      </c>
      <c r="J222" s="29">
        <v>275359.08</v>
      </c>
      <c r="K222" s="29">
        <f t="shared" si="7"/>
        <v>7395395.8100000005</v>
      </c>
    </row>
    <row r="223" spans="1:11" ht="12.75">
      <c r="A223" s="9"/>
      <c r="B223" s="7" t="s">
        <v>17</v>
      </c>
      <c r="C223" s="12">
        <f>6421300/F223</f>
        <v>53510.833333333336</v>
      </c>
      <c r="D223" s="12">
        <f>496441.69/F223</f>
        <v>4137.0140833333335</v>
      </c>
      <c r="E223" s="12">
        <f>202295.04/F223</f>
        <v>1685.7920000000001</v>
      </c>
      <c r="F223" s="12">
        <f>F222</f>
        <v>120</v>
      </c>
      <c r="G223" s="12">
        <f>(C223+D223+E223)</f>
        <v>59333.63941666667</v>
      </c>
      <c r="H223" s="25">
        <v>120</v>
      </c>
      <c r="I223" s="26">
        <f t="shared" si="6"/>
        <v>7120036.73</v>
      </c>
      <c r="J223" s="32">
        <f>J222</f>
        <v>275359.08</v>
      </c>
      <c r="K223" s="32">
        <f t="shared" si="7"/>
        <v>7395395.8100000005</v>
      </c>
    </row>
    <row r="224" spans="1:11" ht="12.75">
      <c r="A224" s="9"/>
      <c r="B224" s="7" t="s">
        <v>147</v>
      </c>
      <c r="C224" s="12"/>
      <c r="D224" s="12"/>
      <c r="E224" s="12"/>
      <c r="F224" s="12">
        <f>F222</f>
        <v>120</v>
      </c>
      <c r="G224" s="12"/>
      <c r="H224" s="25"/>
      <c r="I224" s="26"/>
      <c r="J224" s="32"/>
      <c r="K224" s="32"/>
    </row>
    <row r="225" spans="1:11" ht="12.75">
      <c r="A225" s="9">
        <v>15</v>
      </c>
      <c r="B225" s="7" t="s">
        <v>94</v>
      </c>
      <c r="C225" s="11">
        <f>C226+C227</f>
        <v>59695.79439252336</v>
      </c>
      <c r="D225" s="11">
        <f>D226+D227</f>
        <v>4783.044392523365</v>
      </c>
      <c r="E225" s="11">
        <f>E226+E227</f>
        <v>1425.1822429906542</v>
      </c>
      <c r="F225" s="11">
        <v>214</v>
      </c>
      <c r="G225" s="11">
        <f>G226+G227</f>
        <v>65904.02102803739</v>
      </c>
      <c r="H225" s="25">
        <v>214</v>
      </c>
      <c r="I225" s="11">
        <f t="shared" si="6"/>
        <v>14103460.5</v>
      </c>
      <c r="J225" s="29">
        <v>600870</v>
      </c>
      <c r="K225" s="29">
        <f t="shared" si="7"/>
        <v>14704330.5</v>
      </c>
    </row>
    <row r="226" spans="1:11" ht="12.75">
      <c r="A226" s="9"/>
      <c r="B226" s="7" t="s">
        <v>17</v>
      </c>
      <c r="C226" s="12">
        <f>12774900/F226</f>
        <v>59695.79439252336</v>
      </c>
      <c r="D226" s="12">
        <f>1023571.5/F226</f>
        <v>4783.044392523365</v>
      </c>
      <c r="E226" s="12">
        <f>304989/F226</f>
        <v>1425.1822429906542</v>
      </c>
      <c r="F226" s="12">
        <f>F225</f>
        <v>214</v>
      </c>
      <c r="G226" s="12">
        <f>(C226+D226+E226)</f>
        <v>65904.02102803739</v>
      </c>
      <c r="H226" s="25">
        <v>214</v>
      </c>
      <c r="I226" s="26">
        <f t="shared" si="6"/>
        <v>14103460.5</v>
      </c>
      <c r="J226" s="32">
        <f>J225</f>
        <v>600870</v>
      </c>
      <c r="K226" s="32">
        <f t="shared" si="7"/>
        <v>14704330.5</v>
      </c>
    </row>
    <row r="227" spans="1:11" ht="12.75">
      <c r="A227" s="9"/>
      <c r="B227" s="7" t="s">
        <v>147</v>
      </c>
      <c r="C227" s="12"/>
      <c r="D227" s="12"/>
      <c r="E227" s="12"/>
      <c r="F227" s="12">
        <f>F225</f>
        <v>214</v>
      </c>
      <c r="G227" s="12"/>
      <c r="H227" s="25"/>
      <c r="I227" s="26"/>
      <c r="J227" s="32"/>
      <c r="K227" s="32"/>
    </row>
    <row r="228" spans="1:11" ht="12.75">
      <c r="A228" s="9">
        <v>16</v>
      </c>
      <c r="B228" s="7" t="s">
        <v>95</v>
      </c>
      <c r="C228" s="11">
        <f>C229+C230</f>
        <v>62000.9009009009</v>
      </c>
      <c r="D228" s="11">
        <f>D229+D230</f>
        <v>4178.748423423423</v>
      </c>
      <c r="E228" s="11">
        <f>E229+E230</f>
        <v>1264.9046396396398</v>
      </c>
      <c r="F228" s="11">
        <v>222</v>
      </c>
      <c r="G228" s="11">
        <f>G229+G230</f>
        <v>67444.55396396398</v>
      </c>
      <c r="H228" s="25">
        <v>222</v>
      </c>
      <c r="I228" s="11">
        <f t="shared" si="6"/>
        <v>14972690.980000002</v>
      </c>
      <c r="J228" s="29">
        <v>623801.91</v>
      </c>
      <c r="K228" s="29">
        <f t="shared" si="7"/>
        <v>15596492.890000002</v>
      </c>
    </row>
    <row r="229" spans="1:11" ht="12.75">
      <c r="A229" s="9"/>
      <c r="B229" s="7" t="s">
        <v>17</v>
      </c>
      <c r="C229" s="12">
        <f>13764200/F229</f>
        <v>62000.9009009009</v>
      </c>
      <c r="D229" s="12">
        <f>927682.15/F229</f>
        <v>4178.748423423423</v>
      </c>
      <c r="E229" s="12">
        <f>280808.83/F229</f>
        <v>1264.9046396396398</v>
      </c>
      <c r="F229" s="12">
        <f>F228</f>
        <v>222</v>
      </c>
      <c r="G229" s="12">
        <f>(C229+D229+E229)</f>
        <v>67444.55396396398</v>
      </c>
      <c r="H229" s="25">
        <v>222</v>
      </c>
      <c r="I229" s="26">
        <f t="shared" si="6"/>
        <v>14972690.980000002</v>
      </c>
      <c r="J229" s="32">
        <f>J228</f>
        <v>623801.91</v>
      </c>
      <c r="K229" s="32">
        <f t="shared" si="7"/>
        <v>15596492.890000002</v>
      </c>
    </row>
    <row r="230" spans="1:11" ht="12.75">
      <c r="A230" s="9"/>
      <c r="B230" s="7" t="s">
        <v>147</v>
      </c>
      <c r="C230" s="12"/>
      <c r="D230" s="12"/>
      <c r="E230" s="12"/>
      <c r="F230" s="12">
        <f>F228</f>
        <v>222</v>
      </c>
      <c r="G230" s="12"/>
      <c r="H230" s="25"/>
      <c r="I230" s="26"/>
      <c r="J230" s="32"/>
      <c r="K230" s="32"/>
    </row>
    <row r="231" spans="1:11" ht="12.75">
      <c r="A231" s="9">
        <v>17</v>
      </c>
      <c r="B231" s="7" t="s">
        <v>96</v>
      </c>
      <c r="C231" s="11">
        <f>C232+C233</f>
        <v>164428.125</v>
      </c>
      <c r="D231" s="11">
        <f>D232+D233</f>
        <v>8506.74375</v>
      </c>
      <c r="E231" s="11">
        <f>E232+E233</f>
        <v>24374.7584375</v>
      </c>
      <c r="F231" s="11">
        <v>32</v>
      </c>
      <c r="G231" s="11">
        <f>G232+G233</f>
        <v>197309.6271875</v>
      </c>
      <c r="H231" s="25">
        <v>32</v>
      </c>
      <c r="I231" s="11">
        <f t="shared" si="6"/>
        <v>6313908.07</v>
      </c>
      <c r="J231" s="29">
        <v>163431.18</v>
      </c>
      <c r="K231" s="29">
        <f t="shared" si="7"/>
        <v>6477339.25</v>
      </c>
    </row>
    <row r="232" spans="1:11" ht="12.75">
      <c r="A232" s="9"/>
      <c r="B232" s="7" t="s">
        <v>17</v>
      </c>
      <c r="C232" s="12">
        <f>5261700/F232</f>
        <v>164428.125</v>
      </c>
      <c r="D232" s="12">
        <f>272215.8/F232</f>
        <v>8506.74375</v>
      </c>
      <c r="E232" s="12">
        <f>779992.27/F232</f>
        <v>24374.7584375</v>
      </c>
      <c r="F232" s="12">
        <f>F231</f>
        <v>32</v>
      </c>
      <c r="G232" s="12">
        <f>(C232+D232+E232)</f>
        <v>197309.6271875</v>
      </c>
      <c r="H232" s="25">
        <v>32</v>
      </c>
      <c r="I232" s="26">
        <f t="shared" si="6"/>
        <v>6313908.07</v>
      </c>
      <c r="J232" s="32">
        <f>J231</f>
        <v>163431.18</v>
      </c>
      <c r="K232" s="32">
        <f t="shared" si="7"/>
        <v>6477339.25</v>
      </c>
    </row>
    <row r="233" spans="1:11" ht="12.75">
      <c r="A233" s="9"/>
      <c r="B233" s="7" t="s">
        <v>147</v>
      </c>
      <c r="C233" s="12"/>
      <c r="D233" s="12"/>
      <c r="E233" s="12"/>
      <c r="F233" s="12">
        <f>F231</f>
        <v>32</v>
      </c>
      <c r="G233" s="12"/>
      <c r="H233" s="25"/>
      <c r="I233" s="26"/>
      <c r="J233" s="29"/>
      <c r="K233" s="29"/>
    </row>
    <row r="234" spans="1:11" ht="12.75">
      <c r="A234" s="9">
        <v>18</v>
      </c>
      <c r="B234" s="7" t="s">
        <v>97</v>
      </c>
      <c r="C234" s="11">
        <f>C235+C236</f>
        <v>89217.9104477612</v>
      </c>
      <c r="D234" s="11">
        <f>D235+D236</f>
        <v>7196.8064179104485</v>
      </c>
      <c r="E234" s="11">
        <f>E235+E236</f>
        <v>2913.6968656716417</v>
      </c>
      <c r="F234" s="11">
        <v>67</v>
      </c>
      <c r="G234" s="11">
        <f>G235+G236</f>
        <v>99328.41373134329</v>
      </c>
      <c r="H234" s="25">
        <v>67</v>
      </c>
      <c r="I234" s="11">
        <f t="shared" si="6"/>
        <v>6655003.720000001</v>
      </c>
      <c r="J234" s="29">
        <v>259659.33</v>
      </c>
      <c r="K234" s="29">
        <f t="shared" si="7"/>
        <v>6914663.050000001</v>
      </c>
    </row>
    <row r="235" spans="1:11" ht="12.75">
      <c r="A235" s="9"/>
      <c r="B235" s="7" t="s">
        <v>17</v>
      </c>
      <c r="C235" s="12">
        <f>5977600/F235</f>
        <v>89217.9104477612</v>
      </c>
      <c r="D235" s="12">
        <f>482186.03/F235</f>
        <v>7196.8064179104485</v>
      </c>
      <c r="E235" s="12">
        <f>195217.69/F235</f>
        <v>2913.6968656716417</v>
      </c>
      <c r="F235" s="12">
        <f>F234</f>
        <v>67</v>
      </c>
      <c r="G235" s="12">
        <f>(C235+D235+E235)</f>
        <v>99328.41373134329</v>
      </c>
      <c r="H235" s="25">
        <v>67</v>
      </c>
      <c r="I235" s="26">
        <f t="shared" si="6"/>
        <v>6655003.720000001</v>
      </c>
      <c r="J235" s="32">
        <f>J234</f>
        <v>259659.33</v>
      </c>
      <c r="K235" s="32">
        <f t="shared" si="7"/>
        <v>6914663.050000001</v>
      </c>
    </row>
    <row r="236" spans="1:11" ht="12.75">
      <c r="A236" s="9"/>
      <c r="B236" s="7" t="s">
        <v>147</v>
      </c>
      <c r="C236" s="12"/>
      <c r="D236" s="12"/>
      <c r="E236" s="12"/>
      <c r="F236" s="12">
        <f>F234</f>
        <v>67</v>
      </c>
      <c r="G236" s="12"/>
      <c r="H236" s="25"/>
      <c r="I236" s="26"/>
      <c r="J236" s="32"/>
      <c r="K236" s="32"/>
    </row>
    <row r="237" spans="1:11" ht="12.75">
      <c r="A237" s="9">
        <v>19</v>
      </c>
      <c r="B237" s="7" t="s">
        <v>98</v>
      </c>
      <c r="C237" s="11">
        <f>C238+C239</f>
        <v>66705.6</v>
      </c>
      <c r="D237" s="11">
        <f>D238+D239</f>
        <v>4655.91032</v>
      </c>
      <c r="E237" s="11">
        <f>E238+E239</f>
        <v>3143.65464</v>
      </c>
      <c r="F237" s="11">
        <v>125</v>
      </c>
      <c r="G237" s="11">
        <f>G238+G239</f>
        <v>74505.16496</v>
      </c>
      <c r="H237" s="25">
        <v>125</v>
      </c>
      <c r="I237" s="11">
        <f t="shared" si="6"/>
        <v>9313145.62</v>
      </c>
      <c r="J237" s="29">
        <v>272298.67</v>
      </c>
      <c r="K237" s="29">
        <f t="shared" si="7"/>
        <v>9585444.29</v>
      </c>
    </row>
    <row r="238" spans="1:11" ht="12.75">
      <c r="A238" s="9"/>
      <c r="B238" s="7" t="s">
        <v>17</v>
      </c>
      <c r="C238" s="12">
        <f>8338200/F238</f>
        <v>66705.6</v>
      </c>
      <c r="D238" s="12">
        <f>581988.79/F238</f>
        <v>4655.91032</v>
      </c>
      <c r="E238" s="12">
        <f>392956.83/F238</f>
        <v>3143.65464</v>
      </c>
      <c r="F238" s="12">
        <f>F237</f>
        <v>125</v>
      </c>
      <c r="G238" s="12">
        <f>(C238+D238+E238)</f>
        <v>74505.16496</v>
      </c>
      <c r="H238" s="25">
        <v>125</v>
      </c>
      <c r="I238" s="26">
        <f t="shared" si="6"/>
        <v>9313145.62</v>
      </c>
      <c r="J238" s="32">
        <f>J237</f>
        <v>272298.67</v>
      </c>
      <c r="K238" s="32">
        <f t="shared" si="7"/>
        <v>9585444.29</v>
      </c>
    </row>
    <row r="239" spans="1:11" ht="12.75">
      <c r="A239" s="9"/>
      <c r="B239" s="7" t="s">
        <v>147</v>
      </c>
      <c r="C239" s="12"/>
      <c r="D239" s="12"/>
      <c r="E239" s="12"/>
      <c r="F239" s="12">
        <f>F237</f>
        <v>125</v>
      </c>
      <c r="G239" s="12"/>
      <c r="H239" s="25"/>
      <c r="I239" s="26"/>
      <c r="J239" s="32"/>
      <c r="K239" s="32"/>
    </row>
    <row r="240" spans="1:11" ht="12.75">
      <c r="A240" s="9">
        <v>20</v>
      </c>
      <c r="B240" s="7" t="s">
        <v>99</v>
      </c>
      <c r="C240" s="11">
        <f>C241+C242</f>
        <v>47533.05785123967</v>
      </c>
      <c r="D240" s="11">
        <f>D241+D242</f>
        <v>3884.734297520661</v>
      </c>
      <c r="E240" s="11">
        <f>E241+E242</f>
        <v>1730.517355371901</v>
      </c>
      <c r="F240" s="11">
        <v>121</v>
      </c>
      <c r="G240" s="11">
        <f>G241+G242</f>
        <v>53148.30950413223</v>
      </c>
      <c r="H240" s="25">
        <v>121</v>
      </c>
      <c r="I240" s="11">
        <f t="shared" si="6"/>
        <v>6430945.45</v>
      </c>
      <c r="J240" s="29">
        <v>227394.65</v>
      </c>
      <c r="K240" s="29">
        <f t="shared" si="7"/>
        <v>6658340.100000001</v>
      </c>
    </row>
    <row r="241" spans="1:11" ht="12.75">
      <c r="A241" s="9"/>
      <c r="B241" s="7" t="s">
        <v>17</v>
      </c>
      <c r="C241" s="12">
        <f>5751500/F241</f>
        <v>47533.05785123967</v>
      </c>
      <c r="D241" s="12">
        <f>470052.85/F241</f>
        <v>3884.734297520661</v>
      </c>
      <c r="E241" s="12">
        <f>209392.6/F241</f>
        <v>1730.517355371901</v>
      </c>
      <c r="F241" s="12">
        <f>F240</f>
        <v>121</v>
      </c>
      <c r="G241" s="12">
        <f>(C241+D241+E241)</f>
        <v>53148.30950413223</v>
      </c>
      <c r="H241" s="25">
        <v>121</v>
      </c>
      <c r="I241" s="26">
        <f t="shared" si="6"/>
        <v>6430945.45</v>
      </c>
      <c r="J241" s="32">
        <f>J240</f>
        <v>227394.65</v>
      </c>
      <c r="K241" s="32">
        <f t="shared" si="7"/>
        <v>6658340.100000001</v>
      </c>
    </row>
    <row r="242" spans="1:11" ht="12.75">
      <c r="A242" s="9"/>
      <c r="B242" s="7" t="s">
        <v>147</v>
      </c>
      <c r="C242" s="12"/>
      <c r="D242" s="12"/>
      <c r="E242" s="12"/>
      <c r="F242" s="12">
        <f>F240</f>
        <v>121</v>
      </c>
      <c r="G242" s="12"/>
      <c r="H242" s="25"/>
      <c r="I242" s="26"/>
      <c r="J242" s="32"/>
      <c r="K242" s="32"/>
    </row>
    <row r="243" spans="1:11" ht="12.75">
      <c r="A243" s="9">
        <v>21</v>
      </c>
      <c r="B243" s="7" t="s">
        <v>100</v>
      </c>
      <c r="C243" s="11">
        <f>C244+C245</f>
        <v>75998.64864864865</v>
      </c>
      <c r="D243" s="11">
        <f>D244+D245</f>
        <v>7208.79418918919</v>
      </c>
      <c r="E243" s="11">
        <f>E244+E245</f>
        <v>2606.443243243243</v>
      </c>
      <c r="F243" s="11">
        <v>74</v>
      </c>
      <c r="G243" s="11">
        <f>G244+G245</f>
        <v>85813.88608108109</v>
      </c>
      <c r="H243" s="25">
        <v>74</v>
      </c>
      <c r="I243" s="11">
        <f t="shared" si="6"/>
        <v>6350227.57</v>
      </c>
      <c r="J243" s="29">
        <v>352931.2</v>
      </c>
      <c r="K243" s="29">
        <f t="shared" si="7"/>
        <v>6703158.7700000005</v>
      </c>
    </row>
    <row r="244" spans="1:11" ht="12.75">
      <c r="A244" s="9"/>
      <c r="B244" s="7" t="s">
        <v>17</v>
      </c>
      <c r="C244" s="12">
        <f>5623900/F244</f>
        <v>75998.64864864865</v>
      </c>
      <c r="D244" s="12">
        <f>533450.77/F244</f>
        <v>7208.79418918919</v>
      </c>
      <c r="E244" s="12">
        <f>192876.8/F244</f>
        <v>2606.443243243243</v>
      </c>
      <c r="F244" s="12">
        <f>F243</f>
        <v>74</v>
      </c>
      <c r="G244" s="12">
        <f>(C244+D244+E244)</f>
        <v>85813.88608108109</v>
      </c>
      <c r="H244" s="25">
        <v>74</v>
      </c>
      <c r="I244" s="26">
        <f t="shared" si="6"/>
        <v>6350227.57</v>
      </c>
      <c r="J244" s="32">
        <f>J243</f>
        <v>352931.2</v>
      </c>
      <c r="K244" s="32">
        <f t="shared" si="7"/>
        <v>6703158.7700000005</v>
      </c>
    </row>
    <row r="245" spans="1:11" ht="12.75">
      <c r="A245" s="9"/>
      <c r="B245" s="7" t="s">
        <v>147</v>
      </c>
      <c r="C245" s="12"/>
      <c r="D245" s="12"/>
      <c r="E245" s="12"/>
      <c r="F245" s="12">
        <f>F243</f>
        <v>74</v>
      </c>
      <c r="G245" s="12"/>
      <c r="H245" s="25"/>
      <c r="I245" s="26"/>
      <c r="J245" s="32"/>
      <c r="K245" s="32"/>
    </row>
    <row r="246" spans="1:11" ht="12.75">
      <c r="A246" s="9">
        <v>22</v>
      </c>
      <c r="B246" s="7" t="s">
        <v>101</v>
      </c>
      <c r="C246" s="11">
        <f>C247+C248</f>
        <v>44484.67153284672</v>
      </c>
      <c r="D246" s="11">
        <f>D247+D248</f>
        <v>3468.056788321168</v>
      </c>
      <c r="E246" s="11">
        <f>E247+E248</f>
        <v>1121.0359489051093</v>
      </c>
      <c r="F246" s="11">
        <v>274</v>
      </c>
      <c r="G246" s="11">
        <f>G247+G248</f>
        <v>49073.764270073</v>
      </c>
      <c r="H246" s="25">
        <v>274</v>
      </c>
      <c r="I246" s="11">
        <f t="shared" si="6"/>
        <v>13446211.410000002</v>
      </c>
      <c r="J246" s="29">
        <v>482910.06</v>
      </c>
      <c r="K246" s="29">
        <f t="shared" si="7"/>
        <v>13929121.470000003</v>
      </c>
    </row>
    <row r="247" spans="1:11" ht="12.75">
      <c r="A247" s="9"/>
      <c r="B247" s="7" t="s">
        <v>17</v>
      </c>
      <c r="C247" s="12">
        <f>12188800/F247</f>
        <v>44484.67153284672</v>
      </c>
      <c r="D247" s="12">
        <f>950247.56/F247</f>
        <v>3468.056788321168</v>
      </c>
      <c r="E247" s="12">
        <f>307163.85/F247</f>
        <v>1121.0359489051093</v>
      </c>
      <c r="F247" s="12">
        <f>F246</f>
        <v>274</v>
      </c>
      <c r="G247" s="12">
        <f>(C247+D247+E247)</f>
        <v>49073.764270073</v>
      </c>
      <c r="H247" s="25">
        <v>274</v>
      </c>
      <c r="I247" s="26">
        <f t="shared" si="6"/>
        <v>13446211.410000002</v>
      </c>
      <c r="J247" s="32">
        <f>J246</f>
        <v>482910.06</v>
      </c>
      <c r="K247" s="32">
        <f t="shared" si="7"/>
        <v>13929121.470000003</v>
      </c>
    </row>
    <row r="248" spans="1:11" ht="12.75">
      <c r="A248" s="9"/>
      <c r="B248" s="7" t="s">
        <v>147</v>
      </c>
      <c r="C248" s="12"/>
      <c r="D248" s="12"/>
      <c r="E248" s="12"/>
      <c r="F248" s="12">
        <f>F246</f>
        <v>274</v>
      </c>
      <c r="G248" s="12"/>
      <c r="H248" s="25"/>
      <c r="I248" s="26"/>
      <c r="J248" s="29"/>
      <c r="K248" s="29"/>
    </row>
    <row r="249" spans="1:11" ht="12.75">
      <c r="A249" s="9">
        <v>23</v>
      </c>
      <c r="B249" s="7" t="s">
        <v>102</v>
      </c>
      <c r="C249" s="11">
        <f>C250+C251</f>
        <v>53166.666666666664</v>
      </c>
      <c r="D249" s="11">
        <f>D250+D251</f>
        <v>7967.338235294118</v>
      </c>
      <c r="E249" s="11">
        <f>E250+E251</f>
        <v>7355.393725490197</v>
      </c>
      <c r="F249" s="11">
        <v>51</v>
      </c>
      <c r="G249" s="11">
        <f>G250+G251</f>
        <v>68489.39862745098</v>
      </c>
      <c r="H249" s="25">
        <v>51</v>
      </c>
      <c r="I249" s="11">
        <f t="shared" si="6"/>
        <v>3492959.33</v>
      </c>
      <c r="J249" s="29">
        <v>202627.74</v>
      </c>
      <c r="K249" s="29">
        <f t="shared" si="7"/>
        <v>3695587.0700000003</v>
      </c>
    </row>
    <row r="250" spans="1:11" ht="12.75">
      <c r="A250" s="9"/>
      <c r="B250" s="7" t="s">
        <v>17</v>
      </c>
      <c r="C250" s="12">
        <f>2711500/F250</f>
        <v>53166.666666666664</v>
      </c>
      <c r="D250" s="12">
        <f>406334.25/F250</f>
        <v>7967.338235294118</v>
      </c>
      <c r="E250" s="12">
        <f>375125.08/F250</f>
        <v>7355.393725490197</v>
      </c>
      <c r="F250" s="12">
        <f>F249</f>
        <v>51</v>
      </c>
      <c r="G250" s="12">
        <f>(C250+D250+E250)</f>
        <v>68489.39862745098</v>
      </c>
      <c r="H250" s="25">
        <v>51</v>
      </c>
      <c r="I250" s="26">
        <f t="shared" si="6"/>
        <v>3492959.33</v>
      </c>
      <c r="J250" s="32">
        <f>J249</f>
        <v>202627.74</v>
      </c>
      <c r="K250" s="32">
        <f t="shared" si="7"/>
        <v>3695587.0700000003</v>
      </c>
    </row>
    <row r="251" spans="1:11" ht="12.75">
      <c r="A251" s="9"/>
      <c r="B251" s="7" t="s">
        <v>147</v>
      </c>
      <c r="C251" s="12"/>
      <c r="D251" s="12"/>
      <c r="E251" s="12"/>
      <c r="F251" s="12">
        <f>F249</f>
        <v>51</v>
      </c>
      <c r="G251" s="12"/>
      <c r="H251" s="25"/>
      <c r="I251" s="26"/>
      <c r="J251" s="32"/>
      <c r="K251" s="32"/>
    </row>
    <row r="252" spans="1:11" ht="12.75">
      <c r="A252" s="9">
        <v>24</v>
      </c>
      <c r="B252" s="7" t="s">
        <v>103</v>
      </c>
      <c r="C252" s="11">
        <f>C253+C254</f>
        <v>59841</v>
      </c>
      <c r="D252" s="11">
        <f>D253+D254</f>
        <v>5458.685</v>
      </c>
      <c r="E252" s="11">
        <f>E253+E254</f>
        <v>3066.7754999999997</v>
      </c>
      <c r="F252" s="11">
        <v>200</v>
      </c>
      <c r="G252" s="11">
        <f>G253+G254</f>
        <v>68366.4605</v>
      </c>
      <c r="H252" s="25">
        <v>200</v>
      </c>
      <c r="I252" s="11">
        <f t="shared" si="6"/>
        <v>13673292.1</v>
      </c>
      <c r="J252" s="29">
        <v>615909.3</v>
      </c>
      <c r="K252" s="29">
        <f t="shared" si="7"/>
        <v>14289201.4</v>
      </c>
    </row>
    <row r="253" spans="1:11" ht="12.75">
      <c r="A253" s="9"/>
      <c r="B253" s="7" t="s">
        <v>17</v>
      </c>
      <c r="C253" s="12">
        <f>11968200/F253</f>
        <v>59841</v>
      </c>
      <c r="D253" s="12">
        <f>1091737/F253</f>
        <v>5458.685</v>
      </c>
      <c r="E253" s="12">
        <f>613355.1/F253</f>
        <v>3066.7754999999997</v>
      </c>
      <c r="F253" s="12">
        <f>F252</f>
        <v>200</v>
      </c>
      <c r="G253" s="12">
        <f>(C253+D253+E253)</f>
        <v>68366.4605</v>
      </c>
      <c r="H253" s="25">
        <v>200</v>
      </c>
      <c r="I253" s="26">
        <f t="shared" si="6"/>
        <v>13673292.1</v>
      </c>
      <c r="J253" s="32">
        <f>J252</f>
        <v>615909.3</v>
      </c>
      <c r="K253" s="32">
        <f t="shared" si="7"/>
        <v>14289201.4</v>
      </c>
    </row>
    <row r="254" spans="1:11" ht="12.75">
      <c r="A254" s="9"/>
      <c r="B254" s="7" t="s">
        <v>147</v>
      </c>
      <c r="C254" s="12"/>
      <c r="D254" s="12"/>
      <c r="E254" s="12"/>
      <c r="F254" s="12">
        <f>F252</f>
        <v>200</v>
      </c>
      <c r="G254" s="12"/>
      <c r="H254" s="25"/>
      <c r="I254" s="26"/>
      <c r="J254" s="32"/>
      <c r="K254" s="32"/>
    </row>
    <row r="255" spans="1:11" ht="12.75">
      <c r="A255" s="9">
        <v>25</v>
      </c>
      <c r="B255" s="7" t="s">
        <v>104</v>
      </c>
      <c r="C255" s="11">
        <f>C256+C257</f>
        <v>65437.61061946903</v>
      </c>
      <c r="D255" s="11">
        <f>D256+D257</f>
        <v>3133.2424778761065</v>
      </c>
      <c r="E255" s="11">
        <f>E256+E257</f>
        <v>2337.3156194690264</v>
      </c>
      <c r="F255" s="11">
        <v>226</v>
      </c>
      <c r="G255" s="11">
        <f>G256+G257</f>
        <v>70908.16871681417</v>
      </c>
      <c r="H255" s="25">
        <v>226</v>
      </c>
      <c r="I255" s="11">
        <f t="shared" si="6"/>
        <v>16025246.13</v>
      </c>
      <c r="J255" s="29">
        <v>455134.76</v>
      </c>
      <c r="K255" s="29">
        <f t="shared" si="7"/>
        <v>16480380.89</v>
      </c>
    </row>
    <row r="256" spans="1:11" ht="12.75">
      <c r="A256" s="9"/>
      <c r="B256" s="7" t="s">
        <v>17</v>
      </c>
      <c r="C256" s="12">
        <f>14788900/F256</f>
        <v>65437.61061946903</v>
      </c>
      <c r="D256" s="12">
        <f>708112.8/F256</f>
        <v>3133.2424778761065</v>
      </c>
      <c r="E256" s="12">
        <f>528233.33/F256</f>
        <v>2337.3156194690264</v>
      </c>
      <c r="F256" s="12">
        <f>F255</f>
        <v>226</v>
      </c>
      <c r="G256" s="12">
        <f>(C256+D256+E256)</f>
        <v>70908.16871681417</v>
      </c>
      <c r="H256" s="25">
        <v>226</v>
      </c>
      <c r="I256" s="26">
        <f t="shared" si="6"/>
        <v>16025246.13</v>
      </c>
      <c r="J256" s="32">
        <f>J255</f>
        <v>455134.76</v>
      </c>
      <c r="K256" s="32">
        <f t="shared" si="7"/>
        <v>16480380.89</v>
      </c>
    </row>
    <row r="257" spans="1:11" ht="12.75">
      <c r="A257" s="9"/>
      <c r="B257" s="7" t="s">
        <v>147</v>
      </c>
      <c r="C257" s="12"/>
      <c r="D257" s="12"/>
      <c r="E257" s="12"/>
      <c r="F257" s="12">
        <f>F255</f>
        <v>226</v>
      </c>
      <c r="G257" s="12"/>
      <c r="H257" s="25"/>
      <c r="I257" s="26"/>
      <c r="J257" s="32"/>
      <c r="K257" s="32"/>
    </row>
    <row r="258" spans="1:11" ht="12.75">
      <c r="A258" s="9">
        <v>26</v>
      </c>
      <c r="B258" s="7" t="s">
        <v>105</v>
      </c>
      <c r="C258" s="11">
        <f>C259+C260</f>
        <v>45149.65986394558</v>
      </c>
      <c r="D258" s="11">
        <f>D259+D260</f>
        <v>2696.5972789115644</v>
      </c>
      <c r="E258" s="11">
        <f>E259+E260</f>
        <v>1458.7278911564626</v>
      </c>
      <c r="F258" s="11">
        <v>147</v>
      </c>
      <c r="G258" s="11">
        <f>G259+G260</f>
        <v>49304.9850340136</v>
      </c>
      <c r="H258" s="25">
        <v>147</v>
      </c>
      <c r="I258" s="11">
        <f t="shared" si="6"/>
        <v>7247832.8</v>
      </c>
      <c r="J258" s="29">
        <v>179481.03</v>
      </c>
      <c r="K258" s="29">
        <f t="shared" si="7"/>
        <v>7427313.83</v>
      </c>
    </row>
    <row r="259" spans="1:11" ht="12.75">
      <c r="A259" s="9"/>
      <c r="B259" s="7" t="s">
        <v>17</v>
      </c>
      <c r="C259" s="12">
        <f>6637000/F259</f>
        <v>45149.65986394558</v>
      </c>
      <c r="D259" s="12">
        <f>396399.8/F259</f>
        <v>2696.5972789115644</v>
      </c>
      <c r="E259" s="12">
        <f>214433/F259</f>
        <v>1458.7278911564626</v>
      </c>
      <c r="F259" s="12">
        <f>F258</f>
        <v>147</v>
      </c>
      <c r="G259" s="12">
        <f>(C259+D259+E259)</f>
        <v>49304.9850340136</v>
      </c>
      <c r="H259" s="25">
        <v>147</v>
      </c>
      <c r="I259" s="26">
        <f t="shared" si="6"/>
        <v>7247832.8</v>
      </c>
      <c r="J259" s="32">
        <f>J258</f>
        <v>179481.03</v>
      </c>
      <c r="K259" s="32">
        <f t="shared" si="7"/>
        <v>7427313.83</v>
      </c>
    </row>
    <row r="260" spans="1:11" ht="12.75">
      <c r="A260" s="9"/>
      <c r="B260" s="7" t="s">
        <v>147</v>
      </c>
      <c r="C260" s="12"/>
      <c r="D260" s="12"/>
      <c r="E260" s="12"/>
      <c r="F260" s="12">
        <f>F258</f>
        <v>147</v>
      </c>
      <c r="G260" s="12"/>
      <c r="H260" s="25"/>
      <c r="I260" s="26"/>
      <c r="J260" s="32"/>
      <c r="K260" s="32"/>
    </row>
    <row r="261" spans="1:11" ht="12.75">
      <c r="A261" s="9">
        <v>27</v>
      </c>
      <c r="B261" s="7" t="s">
        <v>106</v>
      </c>
      <c r="C261" s="11">
        <f>C262+C263</f>
        <v>46925.89928057554</v>
      </c>
      <c r="D261" s="11">
        <f>D262+D263</f>
        <v>4202.9391366906475</v>
      </c>
      <c r="E261" s="11">
        <f>E262+E263</f>
        <v>1623.61964028777</v>
      </c>
      <c r="F261" s="11">
        <v>139</v>
      </c>
      <c r="G261" s="11">
        <f>G262+G263</f>
        <v>52752.45805755396</v>
      </c>
      <c r="H261" s="25">
        <v>139</v>
      </c>
      <c r="I261" s="11">
        <f t="shared" si="6"/>
        <v>7332591.67</v>
      </c>
      <c r="J261" s="29">
        <v>319533.03</v>
      </c>
      <c r="K261" s="29">
        <f t="shared" si="7"/>
        <v>7652124.7</v>
      </c>
    </row>
    <row r="262" spans="1:11" ht="12.75">
      <c r="A262" s="9"/>
      <c r="B262" s="7" t="s">
        <v>17</v>
      </c>
      <c r="C262" s="12">
        <f>6522700/F262</f>
        <v>46925.89928057554</v>
      </c>
      <c r="D262" s="12">
        <f>584208.54/F262</f>
        <v>4202.9391366906475</v>
      </c>
      <c r="E262" s="12">
        <f>225683.13/F262</f>
        <v>1623.61964028777</v>
      </c>
      <c r="F262" s="12">
        <f>F261</f>
        <v>139</v>
      </c>
      <c r="G262" s="12">
        <f>(C262+D262+E262)</f>
        <v>52752.45805755396</v>
      </c>
      <c r="H262" s="25">
        <v>139</v>
      </c>
      <c r="I262" s="26">
        <f t="shared" si="6"/>
        <v>7332591.67</v>
      </c>
      <c r="J262" s="32">
        <f>J261</f>
        <v>319533.03</v>
      </c>
      <c r="K262" s="32">
        <f t="shared" si="7"/>
        <v>7652124.7</v>
      </c>
    </row>
    <row r="263" spans="1:11" ht="12.75">
      <c r="A263" s="9"/>
      <c r="B263" s="7" t="s">
        <v>147</v>
      </c>
      <c r="C263" s="12"/>
      <c r="D263" s="12"/>
      <c r="E263" s="12"/>
      <c r="F263" s="12">
        <f>F261</f>
        <v>139</v>
      </c>
      <c r="G263" s="12"/>
      <c r="H263" s="25"/>
      <c r="I263" s="26"/>
      <c r="J263" s="29"/>
      <c r="K263" s="29"/>
    </row>
    <row r="264" spans="1:11" ht="12.75">
      <c r="A264" s="9">
        <v>28</v>
      </c>
      <c r="B264" s="7" t="s">
        <v>107</v>
      </c>
      <c r="C264" s="11">
        <f>C265+C266</f>
        <v>77337.94520547945</v>
      </c>
      <c r="D264" s="11">
        <f>D265+D266</f>
        <v>5351.13397260274</v>
      </c>
      <c r="E264" s="11">
        <f>E265+E266</f>
        <v>2229.508219178082</v>
      </c>
      <c r="F264" s="11">
        <v>73</v>
      </c>
      <c r="G264" s="11">
        <f>G265+G266</f>
        <v>84918.58739726027</v>
      </c>
      <c r="H264" s="25">
        <v>73</v>
      </c>
      <c r="I264" s="11">
        <f t="shared" si="6"/>
        <v>6199056.88</v>
      </c>
      <c r="J264" s="29">
        <v>264671.44</v>
      </c>
      <c r="K264" s="29">
        <f t="shared" si="7"/>
        <v>6463728.32</v>
      </c>
    </row>
    <row r="265" spans="1:11" ht="12.75">
      <c r="A265" s="9"/>
      <c r="B265" s="7" t="s">
        <v>17</v>
      </c>
      <c r="C265" s="12">
        <f>5645670/F265</f>
        <v>77337.94520547945</v>
      </c>
      <c r="D265" s="12">
        <f>390632.78/F265</f>
        <v>5351.13397260274</v>
      </c>
      <c r="E265" s="12">
        <f>162754.1/F265</f>
        <v>2229.508219178082</v>
      </c>
      <c r="F265" s="12">
        <f>F264</f>
        <v>73</v>
      </c>
      <c r="G265" s="12">
        <f>(C265+D265+E265)</f>
        <v>84918.58739726027</v>
      </c>
      <c r="H265" s="25">
        <v>73</v>
      </c>
      <c r="I265" s="26">
        <f t="shared" si="6"/>
        <v>6199056.88</v>
      </c>
      <c r="J265" s="32">
        <f>J264</f>
        <v>264671.44</v>
      </c>
      <c r="K265" s="32">
        <f t="shared" si="7"/>
        <v>6463728.32</v>
      </c>
    </row>
    <row r="266" spans="1:11" ht="12.75">
      <c r="A266" s="9"/>
      <c r="B266" s="7" t="s">
        <v>147</v>
      </c>
      <c r="C266" s="12"/>
      <c r="D266" s="12"/>
      <c r="E266" s="12"/>
      <c r="F266" s="12">
        <f>F264</f>
        <v>73</v>
      </c>
      <c r="G266" s="12"/>
      <c r="H266" s="25"/>
      <c r="I266" s="26"/>
      <c r="J266" s="32"/>
      <c r="K266" s="32"/>
    </row>
    <row r="267" spans="1:11" ht="12.75">
      <c r="A267" s="9">
        <v>29</v>
      </c>
      <c r="B267" s="7" t="s">
        <v>108</v>
      </c>
      <c r="C267" s="11">
        <f>C268+C269</f>
        <v>54474.59016393442</v>
      </c>
      <c r="D267" s="11">
        <f>D268+D269</f>
        <v>4777.899016393443</v>
      </c>
      <c r="E267" s="11">
        <f>E268+E269</f>
        <v>1518.2467213114755</v>
      </c>
      <c r="F267" s="11">
        <v>122</v>
      </c>
      <c r="G267" s="11">
        <f>G268+G269</f>
        <v>60770.73590163934</v>
      </c>
      <c r="H267" s="25">
        <v>122</v>
      </c>
      <c r="I267" s="11">
        <f t="shared" si="6"/>
        <v>7414029.779999999</v>
      </c>
      <c r="J267" s="29">
        <v>492115.67</v>
      </c>
      <c r="K267" s="29">
        <f t="shared" si="7"/>
        <v>7906145.449999999</v>
      </c>
    </row>
    <row r="268" spans="1:11" ht="12.75">
      <c r="A268" s="9"/>
      <c r="B268" s="7" t="s">
        <v>17</v>
      </c>
      <c r="C268" s="12">
        <f>6645900/F268</f>
        <v>54474.59016393442</v>
      </c>
      <c r="D268" s="12">
        <f>582903.68/F268</f>
        <v>4777.899016393443</v>
      </c>
      <c r="E268" s="12">
        <f>185226.1/F268</f>
        <v>1518.2467213114755</v>
      </c>
      <c r="F268" s="12">
        <f>F267</f>
        <v>122</v>
      </c>
      <c r="G268" s="12">
        <f>(C268+D268+E268)</f>
        <v>60770.73590163934</v>
      </c>
      <c r="H268" s="25">
        <v>122</v>
      </c>
      <c r="I268" s="26">
        <f t="shared" si="6"/>
        <v>7414029.779999999</v>
      </c>
      <c r="J268" s="32">
        <f>J267</f>
        <v>492115.67</v>
      </c>
      <c r="K268" s="32">
        <f t="shared" si="7"/>
        <v>7906145.449999999</v>
      </c>
    </row>
    <row r="269" spans="1:11" ht="12.75">
      <c r="A269" s="9"/>
      <c r="B269" s="7" t="s">
        <v>147</v>
      </c>
      <c r="C269" s="12"/>
      <c r="D269" s="12"/>
      <c r="E269" s="12"/>
      <c r="F269" s="12">
        <f>F267</f>
        <v>122</v>
      </c>
      <c r="G269" s="12"/>
      <c r="H269" s="25"/>
      <c r="I269" s="26"/>
      <c r="J269" s="32"/>
      <c r="K269" s="32"/>
    </row>
    <row r="270" spans="1:11" ht="12.75">
      <c r="A270" s="9">
        <v>30</v>
      </c>
      <c r="B270" s="7" t="s">
        <v>109</v>
      </c>
      <c r="C270" s="11">
        <f>C271+C272</f>
        <v>48752.14521452145</v>
      </c>
      <c r="D270" s="11">
        <f>D271+D272</f>
        <v>4100.111353135314</v>
      </c>
      <c r="E270" s="11">
        <f>E271+E272</f>
        <v>834.4054125412541</v>
      </c>
      <c r="F270" s="11">
        <v>303</v>
      </c>
      <c r="G270" s="11">
        <f>G271+G272</f>
        <v>53686.66198019801</v>
      </c>
      <c r="H270" s="25">
        <v>303</v>
      </c>
      <c r="I270" s="11">
        <f t="shared" si="6"/>
        <v>16267058.579999998</v>
      </c>
      <c r="J270" s="29">
        <v>671537.88</v>
      </c>
      <c r="K270" s="29">
        <f t="shared" si="7"/>
        <v>16938596.459999997</v>
      </c>
    </row>
    <row r="271" spans="1:11" ht="12.75">
      <c r="A271" s="9"/>
      <c r="B271" s="7" t="s">
        <v>17</v>
      </c>
      <c r="C271" s="12">
        <f>14771900/F271</f>
        <v>48752.14521452145</v>
      </c>
      <c r="D271" s="12">
        <f>1242333.74/F271</f>
        <v>4100.111353135314</v>
      </c>
      <c r="E271" s="12">
        <f>252824.84/F271</f>
        <v>834.4054125412541</v>
      </c>
      <c r="F271" s="12">
        <f>F270</f>
        <v>303</v>
      </c>
      <c r="G271" s="12">
        <f>(C271+D271+E271)</f>
        <v>53686.66198019801</v>
      </c>
      <c r="H271" s="25">
        <v>303</v>
      </c>
      <c r="I271" s="26">
        <f t="shared" si="6"/>
        <v>16267058.579999998</v>
      </c>
      <c r="J271" s="32">
        <f>J270</f>
        <v>671537.88</v>
      </c>
      <c r="K271" s="32">
        <f t="shared" si="7"/>
        <v>16938596.459999997</v>
      </c>
    </row>
    <row r="272" spans="1:11" ht="12.75">
      <c r="A272" s="9"/>
      <c r="B272" s="7" t="s">
        <v>147</v>
      </c>
      <c r="C272" s="12"/>
      <c r="D272" s="12"/>
      <c r="E272" s="12"/>
      <c r="F272" s="12">
        <f>F270</f>
        <v>303</v>
      </c>
      <c r="G272" s="12"/>
      <c r="H272" s="25"/>
      <c r="I272" s="26"/>
      <c r="J272" s="32"/>
      <c r="K272" s="32"/>
    </row>
    <row r="273" spans="1:11" ht="12.75">
      <c r="A273" s="9">
        <v>31</v>
      </c>
      <c r="B273" s="7" t="s">
        <v>110</v>
      </c>
      <c r="C273" s="11">
        <f>C274+C275</f>
        <v>50762.393162393164</v>
      </c>
      <c r="D273" s="11">
        <f>D274+D275</f>
        <v>5998.327863247863</v>
      </c>
      <c r="E273" s="11">
        <f>E274+E275</f>
        <v>1624.385299145299</v>
      </c>
      <c r="F273" s="11">
        <v>117</v>
      </c>
      <c r="G273" s="11">
        <f>G274+G275</f>
        <v>58385.10632478633</v>
      </c>
      <c r="H273" s="25">
        <v>117</v>
      </c>
      <c r="I273" s="11">
        <f t="shared" si="6"/>
        <v>6831057.44</v>
      </c>
      <c r="J273" s="29">
        <v>381720</v>
      </c>
      <c r="K273" s="29">
        <f t="shared" si="7"/>
        <v>7212777.44</v>
      </c>
    </row>
    <row r="274" spans="1:11" ht="12.75">
      <c r="A274" s="9"/>
      <c r="B274" s="7" t="s">
        <v>17</v>
      </c>
      <c r="C274" s="12">
        <f>5939200/F274</f>
        <v>50762.393162393164</v>
      </c>
      <c r="D274" s="12">
        <f>701804.36/F274</f>
        <v>5998.327863247863</v>
      </c>
      <c r="E274" s="12">
        <f>190053.08/F274</f>
        <v>1624.385299145299</v>
      </c>
      <c r="F274" s="12">
        <f>F273</f>
        <v>117</v>
      </c>
      <c r="G274" s="12">
        <f>(C274+D274+E274)</f>
        <v>58385.10632478633</v>
      </c>
      <c r="H274" s="25">
        <v>117</v>
      </c>
      <c r="I274" s="26">
        <f aca="true" t="shared" si="8" ref="I274:I337">G274*H274</f>
        <v>6831057.44</v>
      </c>
      <c r="J274" s="32">
        <f>J273</f>
        <v>381720</v>
      </c>
      <c r="K274" s="32">
        <f aca="true" t="shared" si="9" ref="K274:K337">I274+J274</f>
        <v>7212777.44</v>
      </c>
    </row>
    <row r="275" spans="1:11" ht="12.75">
      <c r="A275" s="9"/>
      <c r="B275" s="7" t="s">
        <v>147</v>
      </c>
      <c r="C275" s="12"/>
      <c r="D275" s="12"/>
      <c r="E275" s="12"/>
      <c r="F275" s="12">
        <f>F273</f>
        <v>117</v>
      </c>
      <c r="G275" s="12"/>
      <c r="H275" s="25"/>
      <c r="I275" s="26"/>
      <c r="J275" s="32"/>
      <c r="K275" s="32"/>
    </row>
    <row r="276" spans="1:11" ht="12.75">
      <c r="A276" s="9">
        <v>32</v>
      </c>
      <c r="B276" s="7" t="s">
        <v>111</v>
      </c>
      <c r="C276" s="11">
        <f>C277+C278</f>
        <v>59191.08280254777</v>
      </c>
      <c r="D276" s="11">
        <f>D277+D278</f>
        <v>4640.015859872611</v>
      </c>
      <c r="E276" s="11">
        <f>E277+E278</f>
        <v>1256.563949044586</v>
      </c>
      <c r="F276" s="11">
        <v>157</v>
      </c>
      <c r="G276" s="11">
        <f>G277+G278</f>
        <v>65087.66261146496</v>
      </c>
      <c r="H276" s="25">
        <v>157</v>
      </c>
      <c r="I276" s="11">
        <f t="shared" si="8"/>
        <v>10218763.03</v>
      </c>
      <c r="J276" s="29">
        <v>467920.28</v>
      </c>
      <c r="K276" s="29">
        <f t="shared" si="9"/>
        <v>10686683.309999999</v>
      </c>
    </row>
    <row r="277" spans="1:11" ht="12.75">
      <c r="A277" s="9"/>
      <c r="B277" s="7" t="s">
        <v>17</v>
      </c>
      <c r="C277" s="12">
        <f>9293000/F277</f>
        <v>59191.08280254777</v>
      </c>
      <c r="D277" s="12">
        <f>728482.49/F277</f>
        <v>4640.015859872611</v>
      </c>
      <c r="E277" s="12">
        <f>197280.54/F277</f>
        <v>1256.563949044586</v>
      </c>
      <c r="F277" s="12">
        <f>F276</f>
        <v>157</v>
      </c>
      <c r="G277" s="12">
        <f>(C277+D277+E277)</f>
        <v>65087.66261146496</v>
      </c>
      <c r="H277" s="25">
        <v>157</v>
      </c>
      <c r="I277" s="26">
        <f t="shared" si="8"/>
        <v>10218763.03</v>
      </c>
      <c r="J277" s="32">
        <f>J276</f>
        <v>467920.28</v>
      </c>
      <c r="K277" s="32">
        <f t="shared" si="9"/>
        <v>10686683.309999999</v>
      </c>
    </row>
    <row r="278" spans="1:11" ht="12.75">
      <c r="A278" s="9"/>
      <c r="B278" s="7" t="s">
        <v>147</v>
      </c>
      <c r="C278" s="12"/>
      <c r="D278" s="12"/>
      <c r="E278" s="12"/>
      <c r="F278" s="12">
        <f>F276</f>
        <v>157</v>
      </c>
      <c r="G278" s="12"/>
      <c r="H278" s="25"/>
      <c r="I278" s="26"/>
      <c r="J278" s="29"/>
      <c r="K278" s="29"/>
    </row>
    <row r="279" spans="1:11" ht="12.75">
      <c r="A279" s="9">
        <v>33</v>
      </c>
      <c r="B279" s="7" t="s">
        <v>112</v>
      </c>
      <c r="C279" s="11">
        <f>C280+C281</f>
        <v>48725.20325203252</v>
      </c>
      <c r="D279" s="11">
        <f>D280+D281</f>
        <v>4493.658983739838</v>
      </c>
      <c r="E279" s="11">
        <f>E280+E281</f>
        <v>1478.8552845528457</v>
      </c>
      <c r="F279" s="11">
        <v>246</v>
      </c>
      <c r="G279" s="11">
        <f>G280+G281</f>
        <v>54697.717520325205</v>
      </c>
      <c r="H279" s="25">
        <v>246</v>
      </c>
      <c r="I279" s="11">
        <f t="shared" si="8"/>
        <v>13455638.51</v>
      </c>
      <c r="J279" s="29">
        <v>531271.12</v>
      </c>
      <c r="K279" s="29">
        <f t="shared" si="9"/>
        <v>13986909.629999999</v>
      </c>
    </row>
    <row r="280" spans="1:11" ht="12.75">
      <c r="A280" s="9"/>
      <c r="B280" s="7" t="s">
        <v>17</v>
      </c>
      <c r="C280" s="12">
        <f>11986400/F280</f>
        <v>48725.20325203252</v>
      </c>
      <c r="D280" s="12">
        <f>1105440.11/F280</f>
        <v>4493.658983739838</v>
      </c>
      <c r="E280" s="12">
        <f>363798.4/F280</f>
        <v>1478.8552845528457</v>
      </c>
      <c r="F280" s="12">
        <f>F279</f>
        <v>246</v>
      </c>
      <c r="G280" s="12">
        <f>(C280+D280+E280)</f>
        <v>54697.717520325205</v>
      </c>
      <c r="H280" s="25">
        <v>246</v>
      </c>
      <c r="I280" s="26">
        <f t="shared" si="8"/>
        <v>13455638.51</v>
      </c>
      <c r="J280" s="32">
        <f>J279</f>
        <v>531271.12</v>
      </c>
      <c r="K280" s="32">
        <f t="shared" si="9"/>
        <v>13986909.629999999</v>
      </c>
    </row>
    <row r="281" spans="1:11" ht="12.75">
      <c r="A281" s="9"/>
      <c r="B281" s="7" t="s">
        <v>147</v>
      </c>
      <c r="C281" s="12"/>
      <c r="D281" s="12"/>
      <c r="E281" s="12"/>
      <c r="F281" s="12">
        <f>F279</f>
        <v>246</v>
      </c>
      <c r="G281" s="12"/>
      <c r="H281" s="25"/>
      <c r="I281" s="26"/>
      <c r="J281" s="32"/>
      <c r="K281" s="32"/>
    </row>
    <row r="282" spans="1:11" ht="12.75">
      <c r="A282" s="9">
        <v>34</v>
      </c>
      <c r="B282" s="7" t="s">
        <v>113</v>
      </c>
      <c r="C282" s="11">
        <f>C283+C284</f>
        <v>48035.24590163935</v>
      </c>
      <c r="D282" s="11">
        <f>D283+D284</f>
        <v>3938.399672131148</v>
      </c>
      <c r="E282" s="11">
        <f>E283+E284</f>
        <v>1446.2970491803278</v>
      </c>
      <c r="F282" s="11">
        <v>122</v>
      </c>
      <c r="G282" s="11">
        <f>G283+G284</f>
        <v>53419.942622950824</v>
      </c>
      <c r="H282" s="25">
        <v>122</v>
      </c>
      <c r="I282" s="11">
        <f t="shared" si="8"/>
        <v>6517233.000000001</v>
      </c>
      <c r="J282" s="29">
        <v>230294.89</v>
      </c>
      <c r="K282" s="29">
        <f t="shared" si="9"/>
        <v>6747527.890000001</v>
      </c>
    </row>
    <row r="283" spans="1:11" ht="12.75">
      <c r="A283" s="9"/>
      <c r="B283" s="7" t="s">
        <v>17</v>
      </c>
      <c r="C283" s="12">
        <f>5860300/F283</f>
        <v>48035.24590163935</v>
      </c>
      <c r="D283" s="12">
        <f>480484.76/F283</f>
        <v>3938.399672131148</v>
      </c>
      <c r="E283" s="12">
        <f>176448.24/F283</f>
        <v>1446.2970491803278</v>
      </c>
      <c r="F283" s="12">
        <f>F282</f>
        <v>122</v>
      </c>
      <c r="G283" s="12">
        <f>(C283+D283+E283)</f>
        <v>53419.942622950824</v>
      </c>
      <c r="H283" s="25">
        <v>122</v>
      </c>
      <c r="I283" s="26">
        <f t="shared" si="8"/>
        <v>6517233.000000001</v>
      </c>
      <c r="J283" s="32">
        <f>J282</f>
        <v>230294.89</v>
      </c>
      <c r="K283" s="32">
        <f t="shared" si="9"/>
        <v>6747527.890000001</v>
      </c>
    </row>
    <row r="284" spans="1:11" ht="12.75">
      <c r="A284" s="9"/>
      <c r="B284" s="7" t="s">
        <v>147</v>
      </c>
      <c r="C284" s="12"/>
      <c r="D284" s="12"/>
      <c r="E284" s="12"/>
      <c r="F284" s="12">
        <f>F282</f>
        <v>122</v>
      </c>
      <c r="G284" s="12"/>
      <c r="H284" s="25"/>
      <c r="I284" s="26"/>
      <c r="J284" s="32"/>
      <c r="K284" s="32"/>
    </row>
    <row r="285" spans="1:11" ht="12.75">
      <c r="A285" s="9">
        <v>35</v>
      </c>
      <c r="B285" s="7" t="s">
        <v>114</v>
      </c>
      <c r="C285" s="11">
        <f>C286+C287</f>
        <v>47258.58208955224</v>
      </c>
      <c r="D285" s="11">
        <f>D286+D287</f>
        <v>3954.6913805970153</v>
      </c>
      <c r="E285" s="11">
        <f>E286+E287</f>
        <v>1006.8776119402986</v>
      </c>
      <c r="F285" s="11">
        <v>268</v>
      </c>
      <c r="G285" s="11">
        <f>G286+G287</f>
        <v>52220.15108208956</v>
      </c>
      <c r="H285" s="25">
        <v>268</v>
      </c>
      <c r="I285" s="11">
        <f t="shared" si="8"/>
        <v>13995000.49</v>
      </c>
      <c r="J285" s="29">
        <v>702775.71</v>
      </c>
      <c r="K285" s="29">
        <f t="shared" si="9"/>
        <v>14697776.2</v>
      </c>
    </row>
    <row r="286" spans="1:11" ht="12.75">
      <c r="A286" s="9"/>
      <c r="B286" s="7" t="s">
        <v>17</v>
      </c>
      <c r="C286" s="12">
        <f>12665300/F286</f>
        <v>47258.58208955224</v>
      </c>
      <c r="D286" s="12">
        <f>1059857.29/F286</f>
        <v>3954.6913805970153</v>
      </c>
      <c r="E286" s="12">
        <f>269843.2/F286</f>
        <v>1006.8776119402986</v>
      </c>
      <c r="F286" s="12">
        <f>F285</f>
        <v>268</v>
      </c>
      <c r="G286" s="12">
        <f>(C286+D286+E286)</f>
        <v>52220.15108208956</v>
      </c>
      <c r="H286" s="25">
        <v>268</v>
      </c>
      <c r="I286" s="26">
        <f t="shared" si="8"/>
        <v>13995000.49</v>
      </c>
      <c r="J286" s="32">
        <f>J285</f>
        <v>702775.71</v>
      </c>
      <c r="K286" s="32">
        <f t="shared" si="9"/>
        <v>14697776.2</v>
      </c>
    </row>
    <row r="287" spans="1:11" ht="12.75">
      <c r="A287" s="9"/>
      <c r="B287" s="7" t="s">
        <v>147</v>
      </c>
      <c r="C287" s="12"/>
      <c r="D287" s="12"/>
      <c r="E287" s="12"/>
      <c r="F287" s="12">
        <f>F285</f>
        <v>268</v>
      </c>
      <c r="G287" s="12"/>
      <c r="H287" s="25"/>
      <c r="I287" s="26"/>
      <c r="J287" s="32"/>
      <c r="K287" s="32"/>
    </row>
    <row r="288" spans="1:11" ht="12.75">
      <c r="A288" s="9">
        <v>36</v>
      </c>
      <c r="B288" s="7" t="s">
        <v>115</v>
      </c>
      <c r="C288" s="11">
        <f>C289+C290</f>
        <v>54729.81651376147</v>
      </c>
      <c r="D288" s="11">
        <f>D289+D290</f>
        <v>6845.602798165137</v>
      </c>
      <c r="E288" s="11">
        <f>E289+E290</f>
        <v>4065.713899082569</v>
      </c>
      <c r="F288" s="11">
        <v>218</v>
      </c>
      <c r="G288" s="11">
        <f>G289+G290</f>
        <v>65641.13321100918</v>
      </c>
      <c r="H288" s="25">
        <v>218</v>
      </c>
      <c r="I288" s="11">
        <f t="shared" si="8"/>
        <v>14309767.040000001</v>
      </c>
      <c r="J288" s="29">
        <v>803223.44</v>
      </c>
      <c r="K288" s="29">
        <f t="shared" si="9"/>
        <v>15112990.48</v>
      </c>
    </row>
    <row r="289" spans="1:11" ht="12.75">
      <c r="A289" s="9"/>
      <c r="B289" s="7" t="s">
        <v>17</v>
      </c>
      <c r="C289" s="12">
        <f>11931100/F289</f>
        <v>54729.81651376147</v>
      </c>
      <c r="D289" s="12">
        <f>1492341.41/F289</f>
        <v>6845.602798165137</v>
      </c>
      <c r="E289" s="12">
        <f>886325.63/F289</f>
        <v>4065.713899082569</v>
      </c>
      <c r="F289" s="12">
        <f>F288</f>
        <v>218</v>
      </c>
      <c r="G289" s="12">
        <f>(C289+D289+E289)</f>
        <v>65641.13321100918</v>
      </c>
      <c r="H289" s="25">
        <v>218</v>
      </c>
      <c r="I289" s="26">
        <f t="shared" si="8"/>
        <v>14309767.040000001</v>
      </c>
      <c r="J289" s="32">
        <f>J288</f>
        <v>803223.44</v>
      </c>
      <c r="K289" s="32">
        <f t="shared" si="9"/>
        <v>15112990.48</v>
      </c>
    </row>
    <row r="290" spans="1:11" ht="12.75">
      <c r="A290" s="9"/>
      <c r="B290" s="7" t="s">
        <v>18</v>
      </c>
      <c r="C290" s="12"/>
      <c r="D290" s="12"/>
      <c r="E290" s="12"/>
      <c r="F290" s="12">
        <f>F288</f>
        <v>218</v>
      </c>
      <c r="G290" s="12"/>
      <c r="H290" s="25"/>
      <c r="I290" s="26"/>
      <c r="J290" s="32"/>
      <c r="K290" s="32"/>
    </row>
    <row r="291" spans="1:11" ht="12.75">
      <c r="A291" s="9">
        <v>37</v>
      </c>
      <c r="B291" s="7" t="s">
        <v>116</v>
      </c>
      <c r="C291" s="11">
        <f>C292+C293</f>
        <v>58297.64705882353</v>
      </c>
      <c r="D291" s="11">
        <f>D292+D293</f>
        <v>6092.838470588235</v>
      </c>
      <c r="E291" s="11">
        <f>E292+E293</f>
        <v>2225.4143529411763</v>
      </c>
      <c r="F291" s="11">
        <v>85</v>
      </c>
      <c r="G291" s="11">
        <f>G292+G293</f>
        <v>66615.89988235294</v>
      </c>
      <c r="H291" s="25">
        <v>85</v>
      </c>
      <c r="I291" s="11">
        <f t="shared" si="8"/>
        <v>5662351.49</v>
      </c>
      <c r="J291" s="29">
        <v>205569.49</v>
      </c>
      <c r="K291" s="29">
        <f t="shared" si="9"/>
        <v>5867920.98</v>
      </c>
    </row>
    <row r="292" spans="1:11" ht="12.75">
      <c r="A292" s="9"/>
      <c r="B292" s="7" t="s">
        <v>17</v>
      </c>
      <c r="C292" s="12">
        <f>4955300/F292</f>
        <v>58297.64705882353</v>
      </c>
      <c r="D292" s="12">
        <f>517891.27/F292</f>
        <v>6092.838470588235</v>
      </c>
      <c r="E292" s="12">
        <f>189160.22/F292</f>
        <v>2225.4143529411763</v>
      </c>
      <c r="F292" s="12">
        <f>F291</f>
        <v>85</v>
      </c>
      <c r="G292" s="12">
        <f>(C292+D292+E292)</f>
        <v>66615.89988235294</v>
      </c>
      <c r="H292" s="25">
        <v>85</v>
      </c>
      <c r="I292" s="26">
        <f t="shared" si="8"/>
        <v>5662351.49</v>
      </c>
      <c r="J292" s="32">
        <f>J291</f>
        <v>205569.49</v>
      </c>
      <c r="K292" s="32">
        <f t="shared" si="9"/>
        <v>5867920.98</v>
      </c>
    </row>
    <row r="293" spans="1:11" ht="12.75">
      <c r="A293" s="9"/>
      <c r="B293" s="7" t="s">
        <v>147</v>
      </c>
      <c r="C293" s="12"/>
      <c r="D293" s="12"/>
      <c r="E293" s="12"/>
      <c r="F293" s="12">
        <f>F291</f>
        <v>85</v>
      </c>
      <c r="G293" s="12"/>
      <c r="H293" s="25"/>
      <c r="I293" s="26"/>
      <c r="J293" s="29"/>
      <c r="K293" s="29"/>
    </row>
    <row r="294" spans="1:11" ht="12.75">
      <c r="A294" s="9">
        <v>38</v>
      </c>
      <c r="B294" s="7" t="s">
        <v>117</v>
      </c>
      <c r="C294" s="11">
        <f>C295+C296</f>
        <v>52505.479452054795</v>
      </c>
      <c r="D294" s="11">
        <f>D295+D296</f>
        <v>4855.473630136987</v>
      </c>
      <c r="E294" s="11">
        <f>E295+E296</f>
        <v>1947.7803424657534</v>
      </c>
      <c r="F294" s="11">
        <v>146</v>
      </c>
      <c r="G294" s="11">
        <f>G295+G296</f>
        <v>59308.733424657534</v>
      </c>
      <c r="H294" s="25">
        <v>146</v>
      </c>
      <c r="I294" s="11">
        <f t="shared" si="8"/>
        <v>8659075.08</v>
      </c>
      <c r="J294" s="29">
        <v>360864.93</v>
      </c>
      <c r="K294" s="29">
        <f t="shared" si="9"/>
        <v>9019940.01</v>
      </c>
    </row>
    <row r="295" spans="1:11" ht="12.75">
      <c r="A295" s="9"/>
      <c r="B295" s="7" t="s">
        <v>17</v>
      </c>
      <c r="C295" s="12">
        <f>7665800/F295</f>
        <v>52505.479452054795</v>
      </c>
      <c r="D295" s="12">
        <f>708899.15/F295</f>
        <v>4855.473630136987</v>
      </c>
      <c r="E295" s="12">
        <f>284375.93/F295</f>
        <v>1947.7803424657534</v>
      </c>
      <c r="F295" s="12">
        <f>F294</f>
        <v>146</v>
      </c>
      <c r="G295" s="12">
        <f>(C295+D295+E295)</f>
        <v>59308.733424657534</v>
      </c>
      <c r="H295" s="25">
        <v>146</v>
      </c>
      <c r="I295" s="26">
        <f t="shared" si="8"/>
        <v>8659075.08</v>
      </c>
      <c r="J295" s="32">
        <f>J294</f>
        <v>360864.93</v>
      </c>
      <c r="K295" s="32">
        <f t="shared" si="9"/>
        <v>9019940.01</v>
      </c>
    </row>
    <row r="296" spans="1:11" ht="12.75">
      <c r="A296" s="9"/>
      <c r="B296" s="7" t="s">
        <v>147</v>
      </c>
      <c r="C296" s="12"/>
      <c r="D296" s="12"/>
      <c r="E296" s="12"/>
      <c r="F296" s="12">
        <f>F294</f>
        <v>146</v>
      </c>
      <c r="G296" s="12"/>
      <c r="H296" s="25"/>
      <c r="I296" s="26"/>
      <c r="J296" s="32"/>
      <c r="K296" s="32"/>
    </row>
    <row r="297" spans="1:11" ht="12.75">
      <c r="A297" s="9">
        <v>39</v>
      </c>
      <c r="B297" s="7" t="s">
        <v>118</v>
      </c>
      <c r="C297" s="11">
        <f>C298+C299</f>
        <v>50943.66197183099</v>
      </c>
      <c r="D297" s="11">
        <f>D298+D299</f>
        <v>5170.41</v>
      </c>
      <c r="E297" s="11">
        <f>E298+E299</f>
        <v>1257.7464788732395</v>
      </c>
      <c r="F297" s="11">
        <v>142</v>
      </c>
      <c r="G297" s="11">
        <f>G298+G299</f>
        <v>57371.818450704224</v>
      </c>
      <c r="H297" s="25">
        <v>142</v>
      </c>
      <c r="I297" s="11">
        <f t="shared" si="8"/>
        <v>8146798.22</v>
      </c>
      <c r="J297" s="29">
        <v>403565.46</v>
      </c>
      <c r="K297" s="29">
        <f t="shared" si="9"/>
        <v>8550363.68</v>
      </c>
    </row>
    <row r="298" spans="1:11" ht="12.75">
      <c r="A298" s="9"/>
      <c r="B298" s="7" t="s">
        <v>17</v>
      </c>
      <c r="C298" s="12">
        <f>7234000/F298</f>
        <v>50943.66197183099</v>
      </c>
      <c r="D298" s="12">
        <f>734198.22/F298</f>
        <v>5170.41</v>
      </c>
      <c r="E298" s="12">
        <f>178600/F298</f>
        <v>1257.7464788732395</v>
      </c>
      <c r="F298" s="12">
        <f>F297</f>
        <v>142</v>
      </c>
      <c r="G298" s="12">
        <f>(C298+D298+E298)</f>
        <v>57371.818450704224</v>
      </c>
      <c r="H298" s="25">
        <v>142</v>
      </c>
      <c r="I298" s="26">
        <f t="shared" si="8"/>
        <v>8146798.22</v>
      </c>
      <c r="J298" s="32">
        <f>J297</f>
        <v>403565.46</v>
      </c>
      <c r="K298" s="32">
        <f t="shared" si="9"/>
        <v>8550363.68</v>
      </c>
    </row>
    <row r="299" spans="1:11" ht="12.75">
      <c r="A299" s="9"/>
      <c r="B299" s="7" t="s">
        <v>147</v>
      </c>
      <c r="C299" s="12"/>
      <c r="D299" s="12"/>
      <c r="E299" s="12"/>
      <c r="F299" s="12">
        <f>F297</f>
        <v>142</v>
      </c>
      <c r="G299" s="12"/>
      <c r="H299" s="25"/>
      <c r="I299" s="26"/>
      <c r="J299" s="32"/>
      <c r="K299" s="32"/>
    </row>
    <row r="300" spans="1:11" ht="12.75">
      <c r="A300" s="9">
        <v>40</v>
      </c>
      <c r="B300" s="7" t="s">
        <v>119</v>
      </c>
      <c r="C300" s="11">
        <f>C301+C302</f>
        <v>61654.32098765432</v>
      </c>
      <c r="D300" s="11">
        <f>D301+D302</f>
        <v>4893.432839506173</v>
      </c>
      <c r="E300" s="11">
        <f>E301+E302</f>
        <v>2541.0554320987653</v>
      </c>
      <c r="F300" s="11">
        <v>81</v>
      </c>
      <c r="G300" s="11">
        <f>G301+G302</f>
        <v>69088.80925925926</v>
      </c>
      <c r="H300" s="25">
        <v>81</v>
      </c>
      <c r="I300" s="11">
        <f t="shared" si="8"/>
        <v>5596193.55</v>
      </c>
      <c r="J300" s="29">
        <v>232462.92</v>
      </c>
      <c r="K300" s="29">
        <f t="shared" si="9"/>
        <v>5828656.47</v>
      </c>
    </row>
    <row r="301" spans="1:11" ht="12.75">
      <c r="A301" s="9"/>
      <c r="B301" s="7" t="s">
        <v>17</v>
      </c>
      <c r="C301" s="12">
        <f>4994000/F301</f>
        <v>61654.32098765432</v>
      </c>
      <c r="D301" s="12">
        <f>396368.06/F301</f>
        <v>4893.432839506173</v>
      </c>
      <c r="E301" s="12">
        <f>205825.49/F301</f>
        <v>2541.0554320987653</v>
      </c>
      <c r="F301" s="12">
        <f>F300</f>
        <v>81</v>
      </c>
      <c r="G301" s="12">
        <f>(C301+D301+E301)</f>
        <v>69088.80925925926</v>
      </c>
      <c r="H301" s="25">
        <v>81</v>
      </c>
      <c r="I301" s="26">
        <f t="shared" si="8"/>
        <v>5596193.55</v>
      </c>
      <c r="J301" s="32">
        <f>J300</f>
        <v>232462.92</v>
      </c>
      <c r="K301" s="32">
        <f t="shared" si="9"/>
        <v>5828656.47</v>
      </c>
    </row>
    <row r="302" spans="1:11" ht="12.75">
      <c r="A302" s="9"/>
      <c r="B302" s="7" t="s">
        <v>147</v>
      </c>
      <c r="C302" s="12"/>
      <c r="D302" s="12"/>
      <c r="E302" s="12"/>
      <c r="F302" s="12">
        <f>F300</f>
        <v>81</v>
      </c>
      <c r="G302" s="12"/>
      <c r="H302" s="25"/>
      <c r="I302" s="26"/>
      <c r="J302" s="32"/>
      <c r="K302" s="32"/>
    </row>
    <row r="303" spans="1:11" ht="12.75">
      <c r="A303" s="9">
        <v>41</v>
      </c>
      <c r="B303" s="7" t="s">
        <v>120</v>
      </c>
      <c r="C303" s="11">
        <f>C304+C305</f>
        <v>79260</v>
      </c>
      <c r="D303" s="11">
        <f>D304+D305</f>
        <v>7210.092941176471</v>
      </c>
      <c r="E303" s="11">
        <f>E304+E305</f>
        <v>2150.5296470588232</v>
      </c>
      <c r="F303" s="11">
        <v>85</v>
      </c>
      <c r="G303" s="11">
        <f>G304+G305</f>
        <v>88620.62258823529</v>
      </c>
      <c r="H303" s="25">
        <v>85</v>
      </c>
      <c r="I303" s="11">
        <f t="shared" si="8"/>
        <v>7532752.92</v>
      </c>
      <c r="J303" s="29">
        <v>420600.32</v>
      </c>
      <c r="K303" s="29">
        <f t="shared" si="9"/>
        <v>7953353.24</v>
      </c>
    </row>
    <row r="304" spans="1:11" ht="12.75">
      <c r="A304" s="9"/>
      <c r="B304" s="7" t="s">
        <v>17</v>
      </c>
      <c r="C304" s="12">
        <f>6737100/F304</f>
        <v>79260</v>
      </c>
      <c r="D304" s="12">
        <f>612857.9/F304</f>
        <v>7210.092941176471</v>
      </c>
      <c r="E304" s="12">
        <f>182795.02/F304</f>
        <v>2150.5296470588232</v>
      </c>
      <c r="F304" s="12">
        <f>F303</f>
        <v>85</v>
      </c>
      <c r="G304" s="12">
        <f>(C304+D304+E304)</f>
        <v>88620.62258823529</v>
      </c>
      <c r="H304" s="25">
        <v>85</v>
      </c>
      <c r="I304" s="26">
        <f t="shared" si="8"/>
        <v>7532752.92</v>
      </c>
      <c r="J304" s="32">
        <f>J303</f>
        <v>420600.32</v>
      </c>
      <c r="K304" s="32">
        <f t="shared" si="9"/>
        <v>7953353.24</v>
      </c>
    </row>
    <row r="305" spans="1:11" ht="12.75">
      <c r="A305" s="9"/>
      <c r="B305" s="7" t="s">
        <v>147</v>
      </c>
      <c r="C305" s="12"/>
      <c r="D305" s="12"/>
      <c r="E305" s="12"/>
      <c r="F305" s="12">
        <f>F303</f>
        <v>85</v>
      </c>
      <c r="G305" s="12"/>
      <c r="H305" s="25"/>
      <c r="I305" s="26"/>
      <c r="J305" s="32"/>
      <c r="K305" s="32"/>
    </row>
    <row r="306" spans="1:11" ht="12.75">
      <c r="A306" s="9">
        <v>42</v>
      </c>
      <c r="B306" s="7" t="s">
        <v>121</v>
      </c>
      <c r="C306" s="11">
        <f>C307+C308</f>
        <v>96268.18181818182</v>
      </c>
      <c r="D306" s="11">
        <f>D307+D308</f>
        <v>14156.44</v>
      </c>
      <c r="E306" s="11">
        <f>E307+E308</f>
        <v>8071.768181818182</v>
      </c>
      <c r="F306" s="11">
        <v>22</v>
      </c>
      <c r="G306" s="11">
        <f>G307+G308</f>
        <v>118496.39000000001</v>
      </c>
      <c r="H306" s="25">
        <v>22</v>
      </c>
      <c r="I306" s="11">
        <f t="shared" si="8"/>
        <v>2606920.58</v>
      </c>
      <c r="J306" s="29">
        <v>67227.64</v>
      </c>
      <c r="K306" s="29">
        <f t="shared" si="9"/>
        <v>2674148.22</v>
      </c>
    </row>
    <row r="307" spans="1:11" ht="12.75">
      <c r="A307" s="9"/>
      <c r="B307" s="7" t="s">
        <v>17</v>
      </c>
      <c r="C307" s="12">
        <f>2117900/F307</f>
        <v>96268.18181818182</v>
      </c>
      <c r="D307" s="12">
        <f>311441.68/F307</f>
        <v>14156.44</v>
      </c>
      <c r="E307" s="12">
        <f>177578.9/F307</f>
        <v>8071.768181818182</v>
      </c>
      <c r="F307" s="12">
        <f>F306</f>
        <v>22</v>
      </c>
      <c r="G307" s="12">
        <f>(C307+D307+E307)</f>
        <v>118496.39000000001</v>
      </c>
      <c r="H307" s="25">
        <v>22</v>
      </c>
      <c r="I307" s="26">
        <f t="shared" si="8"/>
        <v>2606920.58</v>
      </c>
      <c r="J307" s="32">
        <f>J306</f>
        <v>67227.64</v>
      </c>
      <c r="K307" s="32">
        <f t="shared" si="9"/>
        <v>2674148.22</v>
      </c>
    </row>
    <row r="308" spans="1:11" ht="12.75">
      <c r="A308" s="9"/>
      <c r="B308" s="7" t="s">
        <v>147</v>
      </c>
      <c r="C308" s="12"/>
      <c r="D308" s="12"/>
      <c r="E308" s="12"/>
      <c r="F308" s="12">
        <f>F306</f>
        <v>22</v>
      </c>
      <c r="G308" s="12"/>
      <c r="H308" s="25"/>
      <c r="I308" s="26"/>
      <c r="J308" s="29"/>
      <c r="K308" s="29"/>
    </row>
    <row r="309" spans="1:11" ht="12.75">
      <c r="A309" s="9">
        <v>43</v>
      </c>
      <c r="B309" s="7" t="s">
        <v>122</v>
      </c>
      <c r="C309" s="11">
        <f>C310+C311</f>
        <v>75141.93548387097</v>
      </c>
      <c r="D309" s="11">
        <f>D310+D311</f>
        <v>5417.143387096775</v>
      </c>
      <c r="E309" s="11">
        <f>E310+E311</f>
        <v>2413.252419354839</v>
      </c>
      <c r="F309" s="11">
        <v>62</v>
      </c>
      <c r="G309" s="11">
        <f>G310+G311</f>
        <v>82972.33129032259</v>
      </c>
      <c r="H309" s="25">
        <v>62</v>
      </c>
      <c r="I309" s="11">
        <f t="shared" si="8"/>
        <v>5144284.540000001</v>
      </c>
      <c r="J309" s="29">
        <v>294014.1</v>
      </c>
      <c r="K309" s="29">
        <f t="shared" si="9"/>
        <v>5438298.640000001</v>
      </c>
    </row>
    <row r="310" spans="1:11" ht="12.75">
      <c r="A310" s="9"/>
      <c r="B310" s="7" t="s">
        <v>17</v>
      </c>
      <c r="C310" s="12">
        <f>4658800/F310</f>
        <v>75141.93548387097</v>
      </c>
      <c r="D310" s="12">
        <f>335862.89/F310</f>
        <v>5417.143387096775</v>
      </c>
      <c r="E310" s="12">
        <f>149621.65/F310</f>
        <v>2413.252419354839</v>
      </c>
      <c r="F310" s="12">
        <f>F309</f>
        <v>62</v>
      </c>
      <c r="G310" s="12">
        <f>(C310+D310+E310)</f>
        <v>82972.33129032259</v>
      </c>
      <c r="H310" s="25">
        <v>62</v>
      </c>
      <c r="I310" s="26">
        <f t="shared" si="8"/>
        <v>5144284.540000001</v>
      </c>
      <c r="J310" s="32">
        <f>J309</f>
        <v>294014.1</v>
      </c>
      <c r="K310" s="32">
        <f t="shared" si="9"/>
        <v>5438298.640000001</v>
      </c>
    </row>
    <row r="311" spans="1:11" ht="12.75">
      <c r="A311" s="9"/>
      <c r="B311" s="7" t="s">
        <v>147</v>
      </c>
      <c r="C311" s="12"/>
      <c r="D311" s="12"/>
      <c r="E311" s="12"/>
      <c r="F311" s="12">
        <f>F309</f>
        <v>62</v>
      </c>
      <c r="G311" s="12"/>
      <c r="H311" s="25"/>
      <c r="I311" s="26"/>
      <c r="J311" s="32"/>
      <c r="K311" s="32"/>
    </row>
    <row r="312" spans="1:11" ht="12.75">
      <c r="A312" s="9">
        <v>44</v>
      </c>
      <c r="B312" s="7" t="s">
        <v>123</v>
      </c>
      <c r="C312" s="11">
        <f>C313+C314</f>
        <v>87241.17647058824</v>
      </c>
      <c r="D312" s="11">
        <f>D313+D314</f>
        <v>4998.546862745098</v>
      </c>
      <c r="E312" s="11">
        <f>E313+E314</f>
        <v>3674.3954901960788</v>
      </c>
      <c r="F312" s="11">
        <v>51</v>
      </c>
      <c r="G312" s="11">
        <f>G313+G314</f>
        <v>95914.11882352942</v>
      </c>
      <c r="H312" s="25">
        <v>51</v>
      </c>
      <c r="I312" s="11">
        <f t="shared" si="8"/>
        <v>4891620.0600000005</v>
      </c>
      <c r="J312" s="29">
        <v>207767.34</v>
      </c>
      <c r="K312" s="29">
        <f t="shared" si="9"/>
        <v>5099387.4</v>
      </c>
    </row>
    <row r="313" spans="1:11" ht="12.75">
      <c r="A313" s="9"/>
      <c r="B313" s="7" t="s">
        <v>17</v>
      </c>
      <c r="C313" s="12">
        <f>4449300/F313</f>
        <v>87241.17647058824</v>
      </c>
      <c r="D313" s="12">
        <f>254925.89/F313</f>
        <v>4998.546862745098</v>
      </c>
      <c r="E313" s="12">
        <f>187394.17/F313</f>
        <v>3674.3954901960788</v>
      </c>
      <c r="F313" s="12">
        <f>F312</f>
        <v>51</v>
      </c>
      <c r="G313" s="12">
        <f>(C313+D313+E313)</f>
        <v>95914.11882352942</v>
      </c>
      <c r="H313" s="25">
        <v>51</v>
      </c>
      <c r="I313" s="26">
        <f t="shared" si="8"/>
        <v>4891620.0600000005</v>
      </c>
      <c r="J313" s="32">
        <f>J312</f>
        <v>207767.34</v>
      </c>
      <c r="K313" s="32">
        <f t="shared" si="9"/>
        <v>5099387.4</v>
      </c>
    </row>
    <row r="314" spans="1:11" ht="12.75">
      <c r="A314" s="9"/>
      <c r="B314" s="7" t="s">
        <v>147</v>
      </c>
      <c r="C314" s="12"/>
      <c r="D314" s="12"/>
      <c r="E314" s="12"/>
      <c r="F314" s="12">
        <f>F312</f>
        <v>51</v>
      </c>
      <c r="G314" s="12"/>
      <c r="H314" s="25"/>
      <c r="I314" s="26"/>
      <c r="J314" s="32"/>
      <c r="K314" s="32"/>
    </row>
    <row r="315" spans="1:11" ht="12.75">
      <c r="A315" s="9">
        <v>45</v>
      </c>
      <c r="B315" s="7" t="s">
        <v>124</v>
      </c>
      <c r="C315" s="11">
        <f>C316+C317</f>
        <v>73269.84126984127</v>
      </c>
      <c r="D315" s="11">
        <f>D316+D317</f>
        <v>7237.085396825397</v>
      </c>
      <c r="E315" s="11">
        <f>E316+E317</f>
        <v>2273.1122222222225</v>
      </c>
      <c r="F315" s="11">
        <v>63</v>
      </c>
      <c r="G315" s="11">
        <f>G316+G317</f>
        <v>82780.03888888888</v>
      </c>
      <c r="H315" s="25">
        <v>63</v>
      </c>
      <c r="I315" s="11">
        <f t="shared" si="8"/>
        <v>5215142.45</v>
      </c>
      <c r="J315" s="29">
        <v>310729.7</v>
      </c>
      <c r="K315" s="29">
        <f t="shared" si="9"/>
        <v>5525872.15</v>
      </c>
    </row>
    <row r="316" spans="1:11" ht="12.75">
      <c r="A316" s="9"/>
      <c r="B316" s="7" t="s">
        <v>17</v>
      </c>
      <c r="C316" s="12">
        <f>4616000/F316</f>
        <v>73269.84126984127</v>
      </c>
      <c r="D316" s="12">
        <f>455936.38/F316</f>
        <v>7237.085396825397</v>
      </c>
      <c r="E316" s="12">
        <f>143206.07/F316</f>
        <v>2273.1122222222225</v>
      </c>
      <c r="F316" s="12">
        <f>F315</f>
        <v>63</v>
      </c>
      <c r="G316" s="12">
        <f>(C316+D316+E316)</f>
        <v>82780.03888888888</v>
      </c>
      <c r="H316" s="25">
        <v>63</v>
      </c>
      <c r="I316" s="26">
        <f t="shared" si="8"/>
        <v>5215142.45</v>
      </c>
      <c r="J316" s="32">
        <f>J315</f>
        <v>310729.7</v>
      </c>
      <c r="K316" s="32">
        <f t="shared" si="9"/>
        <v>5525872.15</v>
      </c>
    </row>
    <row r="317" spans="1:11" ht="12.75">
      <c r="A317" s="9"/>
      <c r="B317" s="7" t="s">
        <v>147</v>
      </c>
      <c r="C317" s="12"/>
      <c r="D317" s="12"/>
      <c r="E317" s="12"/>
      <c r="F317" s="12">
        <f>F315</f>
        <v>63</v>
      </c>
      <c r="G317" s="12"/>
      <c r="H317" s="25"/>
      <c r="I317" s="26"/>
      <c r="J317" s="32"/>
      <c r="K317" s="32"/>
    </row>
    <row r="318" spans="1:11" ht="12.75">
      <c r="A318" s="9">
        <v>46</v>
      </c>
      <c r="B318" s="7" t="s">
        <v>125</v>
      </c>
      <c r="C318" s="11">
        <f>C319+C320</f>
        <v>61307.22891566265</v>
      </c>
      <c r="D318" s="11">
        <f>D319+D320</f>
        <v>5823.336024096386</v>
      </c>
      <c r="E318" s="11">
        <f>E319+E320</f>
        <v>2288.681686746988</v>
      </c>
      <c r="F318" s="11">
        <v>83</v>
      </c>
      <c r="G318" s="11">
        <f>G319+G320</f>
        <v>69419.24662650602</v>
      </c>
      <c r="H318" s="25">
        <v>83</v>
      </c>
      <c r="I318" s="11">
        <f t="shared" si="8"/>
        <v>5761797.47</v>
      </c>
      <c r="J318" s="29">
        <v>252608.73</v>
      </c>
      <c r="K318" s="29">
        <f t="shared" si="9"/>
        <v>6014406.2</v>
      </c>
    </row>
    <row r="319" spans="1:11" ht="12.75">
      <c r="A319" s="9"/>
      <c r="B319" s="7" t="s">
        <v>17</v>
      </c>
      <c r="C319" s="12">
        <f>5088500/F319</f>
        <v>61307.22891566265</v>
      </c>
      <c r="D319" s="12">
        <f>483336.89/F319</f>
        <v>5823.336024096386</v>
      </c>
      <c r="E319" s="12">
        <f>189960.58/F319</f>
        <v>2288.681686746988</v>
      </c>
      <c r="F319" s="12">
        <f>F318</f>
        <v>83</v>
      </c>
      <c r="G319" s="12">
        <f>(C319+D319+E319)</f>
        <v>69419.24662650602</v>
      </c>
      <c r="H319" s="25">
        <v>83</v>
      </c>
      <c r="I319" s="26">
        <f t="shared" si="8"/>
        <v>5761797.47</v>
      </c>
      <c r="J319" s="32">
        <f>J318</f>
        <v>252608.73</v>
      </c>
      <c r="K319" s="32">
        <f t="shared" si="9"/>
        <v>6014406.2</v>
      </c>
    </row>
    <row r="320" spans="1:11" ht="12.75">
      <c r="A320" s="9"/>
      <c r="B320" s="7" t="s">
        <v>147</v>
      </c>
      <c r="C320" s="12"/>
      <c r="D320" s="12"/>
      <c r="E320" s="12"/>
      <c r="F320" s="12">
        <f>F318</f>
        <v>83</v>
      </c>
      <c r="G320" s="12"/>
      <c r="H320" s="25"/>
      <c r="I320" s="26"/>
      <c r="J320" s="32"/>
      <c r="K320" s="32"/>
    </row>
    <row r="321" spans="1:11" ht="12.75">
      <c r="A321" s="9">
        <v>47</v>
      </c>
      <c r="B321" s="7" t="s">
        <v>126</v>
      </c>
      <c r="C321" s="11">
        <f>C322+C323</f>
        <v>102185</v>
      </c>
      <c r="D321" s="11">
        <f>D322+D323</f>
        <v>9538.6935</v>
      </c>
      <c r="E321" s="11">
        <f>E322+E323</f>
        <v>6029.304</v>
      </c>
      <c r="F321" s="11">
        <v>20</v>
      </c>
      <c r="G321" s="11">
        <f>G322+G323</f>
        <v>117752.9975</v>
      </c>
      <c r="H321" s="25">
        <v>20</v>
      </c>
      <c r="I321" s="11">
        <f t="shared" si="8"/>
        <v>2355059.95</v>
      </c>
      <c r="J321" s="29">
        <v>103241.54</v>
      </c>
      <c r="K321" s="29">
        <f t="shared" si="9"/>
        <v>2458301.49</v>
      </c>
    </row>
    <row r="322" spans="1:11" ht="12.75">
      <c r="A322" s="9"/>
      <c r="B322" s="7" t="s">
        <v>17</v>
      </c>
      <c r="C322" s="12">
        <f>2043700/F322</f>
        <v>102185</v>
      </c>
      <c r="D322" s="12">
        <f>190773.87/F322</f>
        <v>9538.6935</v>
      </c>
      <c r="E322" s="12">
        <f>120586.08/F322</f>
        <v>6029.304</v>
      </c>
      <c r="F322" s="12">
        <f>F321</f>
        <v>20</v>
      </c>
      <c r="G322" s="12">
        <f>(C322+D322+E322)</f>
        <v>117752.9975</v>
      </c>
      <c r="H322" s="25">
        <v>20</v>
      </c>
      <c r="I322" s="26">
        <f t="shared" si="8"/>
        <v>2355059.95</v>
      </c>
      <c r="J322" s="32">
        <f>J321</f>
        <v>103241.54</v>
      </c>
      <c r="K322" s="32">
        <f t="shared" si="9"/>
        <v>2458301.49</v>
      </c>
    </row>
    <row r="323" spans="1:11" ht="12.75">
      <c r="A323" s="9"/>
      <c r="B323" s="7" t="s">
        <v>147</v>
      </c>
      <c r="C323" s="12"/>
      <c r="D323" s="12"/>
      <c r="E323" s="12"/>
      <c r="F323" s="12">
        <f>F321</f>
        <v>20</v>
      </c>
      <c r="G323" s="12"/>
      <c r="H323" s="25"/>
      <c r="I323" s="26"/>
      <c r="J323" s="29"/>
      <c r="K323" s="29"/>
    </row>
    <row r="324" spans="1:11" ht="12.75">
      <c r="A324" s="9">
        <v>48</v>
      </c>
      <c r="B324" s="7" t="s">
        <v>127</v>
      </c>
      <c r="C324" s="11">
        <f>C325+C326</f>
        <v>78175</v>
      </c>
      <c r="D324" s="11">
        <f>D325+D326</f>
        <v>17520.097678571427</v>
      </c>
      <c r="E324" s="11">
        <f>E325+E326</f>
        <v>2786.30125</v>
      </c>
      <c r="F324" s="11">
        <v>56</v>
      </c>
      <c r="G324" s="11">
        <f>G325+G326</f>
        <v>98481.39892857143</v>
      </c>
      <c r="H324" s="25">
        <v>56</v>
      </c>
      <c r="I324" s="11">
        <f t="shared" si="8"/>
        <v>5514958.34</v>
      </c>
      <c r="J324" s="29">
        <v>784010.65</v>
      </c>
      <c r="K324" s="29">
        <f t="shared" si="9"/>
        <v>6298968.99</v>
      </c>
    </row>
    <row r="325" spans="1:11" ht="12.75">
      <c r="A325" s="9"/>
      <c r="B325" s="7" t="s">
        <v>17</v>
      </c>
      <c r="C325" s="12">
        <f>4377800/F325</f>
        <v>78175</v>
      </c>
      <c r="D325" s="12">
        <f>981125.47/F325</f>
        <v>17520.097678571427</v>
      </c>
      <c r="E325" s="12">
        <f>156032.87/F325</f>
        <v>2786.30125</v>
      </c>
      <c r="F325" s="12">
        <f>F324</f>
        <v>56</v>
      </c>
      <c r="G325" s="12">
        <f>(C325+D325+E325)</f>
        <v>98481.39892857143</v>
      </c>
      <c r="H325" s="25">
        <v>56</v>
      </c>
      <c r="I325" s="26">
        <f t="shared" si="8"/>
        <v>5514958.34</v>
      </c>
      <c r="J325" s="32">
        <f>J324</f>
        <v>784010.65</v>
      </c>
      <c r="K325" s="32">
        <f t="shared" si="9"/>
        <v>6298968.99</v>
      </c>
    </row>
    <row r="326" spans="1:11" ht="12.75">
      <c r="A326" s="9"/>
      <c r="B326" s="7" t="s">
        <v>147</v>
      </c>
      <c r="C326" s="12"/>
      <c r="D326" s="12"/>
      <c r="E326" s="12"/>
      <c r="F326" s="12">
        <f>F324</f>
        <v>56</v>
      </c>
      <c r="G326" s="12"/>
      <c r="H326" s="25"/>
      <c r="I326" s="26"/>
      <c r="J326" s="32"/>
      <c r="K326" s="32"/>
    </row>
    <row r="327" spans="1:11" ht="12.75">
      <c r="A327" s="9">
        <v>49</v>
      </c>
      <c r="B327" s="7" t="s">
        <v>128</v>
      </c>
      <c r="C327" s="11">
        <f>C328+C329</f>
        <v>52987.5</v>
      </c>
      <c r="D327" s="11">
        <f>D328+D329</f>
        <v>5156.752327586207</v>
      </c>
      <c r="E327" s="11">
        <f>E328+E329</f>
        <v>988.900775862069</v>
      </c>
      <c r="F327" s="11">
        <v>232</v>
      </c>
      <c r="G327" s="11">
        <f>G328+G329</f>
        <v>59133.153103448276</v>
      </c>
      <c r="H327" s="25">
        <v>232</v>
      </c>
      <c r="I327" s="11">
        <f t="shared" si="8"/>
        <v>13718891.52</v>
      </c>
      <c r="J327" s="29">
        <v>754185.17</v>
      </c>
      <c r="K327" s="29">
        <f t="shared" si="9"/>
        <v>14473076.69</v>
      </c>
    </row>
    <row r="328" spans="1:11" ht="12.75">
      <c r="A328" s="9"/>
      <c r="B328" s="7" t="s">
        <v>17</v>
      </c>
      <c r="C328" s="12">
        <f>12293100/F328</f>
        <v>52987.5</v>
      </c>
      <c r="D328" s="12">
        <f>1196366.54/F328</f>
        <v>5156.752327586207</v>
      </c>
      <c r="E328" s="12">
        <f>229424.98/F328</f>
        <v>988.900775862069</v>
      </c>
      <c r="F328" s="12">
        <f>F327</f>
        <v>232</v>
      </c>
      <c r="G328" s="12">
        <f>(C328+D328+E328)</f>
        <v>59133.153103448276</v>
      </c>
      <c r="H328" s="25">
        <v>232</v>
      </c>
      <c r="I328" s="26">
        <f t="shared" si="8"/>
        <v>13718891.52</v>
      </c>
      <c r="J328" s="32">
        <f>J327</f>
        <v>754185.17</v>
      </c>
      <c r="K328" s="32">
        <f t="shared" si="9"/>
        <v>14473076.69</v>
      </c>
    </row>
    <row r="329" spans="1:11" ht="12.75">
      <c r="A329" s="9"/>
      <c r="B329" s="7" t="s">
        <v>147</v>
      </c>
      <c r="C329" s="12"/>
      <c r="D329" s="12"/>
      <c r="E329" s="12"/>
      <c r="F329" s="12">
        <f>F327</f>
        <v>232</v>
      </c>
      <c r="G329" s="12"/>
      <c r="H329" s="25"/>
      <c r="I329" s="26"/>
      <c r="J329" s="32"/>
      <c r="K329" s="32"/>
    </row>
    <row r="330" spans="1:11" ht="12.75">
      <c r="A330" s="9">
        <v>50</v>
      </c>
      <c r="B330" s="7" t="s">
        <v>129</v>
      </c>
      <c r="C330" s="11">
        <f>C331+C332</f>
        <v>84358.55855855856</v>
      </c>
      <c r="D330" s="11">
        <f>D331+D332</f>
        <v>4616.31054054054</v>
      </c>
      <c r="E330" s="11">
        <f>E331+E332</f>
        <v>2141.48009009009</v>
      </c>
      <c r="F330" s="11">
        <v>111</v>
      </c>
      <c r="G330" s="11">
        <f>G331+G332</f>
        <v>91116.34918918919</v>
      </c>
      <c r="H330" s="25">
        <v>111</v>
      </c>
      <c r="I330" s="11">
        <f t="shared" si="8"/>
        <v>10113914.76</v>
      </c>
      <c r="J330" s="29">
        <v>283510.35</v>
      </c>
      <c r="K330" s="29">
        <f t="shared" si="9"/>
        <v>10397425.11</v>
      </c>
    </row>
    <row r="331" spans="1:11" ht="12.75">
      <c r="A331" s="9"/>
      <c r="B331" s="7" t="s">
        <v>17</v>
      </c>
      <c r="C331" s="12">
        <f>9363800/F331</f>
        <v>84358.55855855856</v>
      </c>
      <c r="D331" s="12">
        <f>512410.47/F331</f>
        <v>4616.31054054054</v>
      </c>
      <c r="E331" s="12">
        <f>237704.29/F331</f>
        <v>2141.48009009009</v>
      </c>
      <c r="F331" s="12">
        <f>F330</f>
        <v>111</v>
      </c>
      <c r="G331" s="12">
        <f>(C331+D331+E331)</f>
        <v>91116.34918918919</v>
      </c>
      <c r="H331" s="25">
        <v>111</v>
      </c>
      <c r="I331" s="26">
        <f t="shared" si="8"/>
        <v>10113914.76</v>
      </c>
      <c r="J331" s="32">
        <f>J330</f>
        <v>283510.35</v>
      </c>
      <c r="K331" s="32">
        <f t="shared" si="9"/>
        <v>10397425.11</v>
      </c>
    </row>
    <row r="332" spans="1:11" ht="12.75">
      <c r="A332" s="9"/>
      <c r="B332" s="7" t="s">
        <v>147</v>
      </c>
      <c r="C332" s="12"/>
      <c r="D332" s="12"/>
      <c r="E332" s="12"/>
      <c r="F332" s="12">
        <f>F330</f>
        <v>111</v>
      </c>
      <c r="G332" s="12"/>
      <c r="H332" s="25"/>
      <c r="I332" s="26"/>
      <c r="J332" s="32"/>
      <c r="K332" s="32"/>
    </row>
    <row r="333" spans="1:11" ht="12.75">
      <c r="A333" s="9">
        <v>51</v>
      </c>
      <c r="B333" s="7" t="s">
        <v>130</v>
      </c>
      <c r="C333" s="11">
        <f>C334+C335</f>
        <v>90208.33333333333</v>
      </c>
      <c r="D333" s="11">
        <f>D334+D335</f>
        <v>19990.11111111111</v>
      </c>
      <c r="E333" s="11">
        <f>E334+E335</f>
        <v>3843.619444444444</v>
      </c>
      <c r="F333" s="11">
        <v>36</v>
      </c>
      <c r="G333" s="11">
        <f>G334+G335</f>
        <v>114042.06388888888</v>
      </c>
      <c r="H333" s="25">
        <v>36</v>
      </c>
      <c r="I333" s="11">
        <f t="shared" si="8"/>
        <v>4105514.3</v>
      </c>
      <c r="J333" s="29">
        <v>575316</v>
      </c>
      <c r="K333" s="29">
        <f t="shared" si="9"/>
        <v>4680830.3</v>
      </c>
    </row>
    <row r="334" spans="1:11" ht="12.75">
      <c r="A334" s="9"/>
      <c r="B334" s="7" t="s">
        <v>17</v>
      </c>
      <c r="C334" s="12">
        <f>3247500/F334</f>
        <v>90208.33333333333</v>
      </c>
      <c r="D334" s="12">
        <f>719644/F334</f>
        <v>19990.11111111111</v>
      </c>
      <c r="E334" s="12">
        <f>138370.3/F334</f>
        <v>3843.619444444444</v>
      </c>
      <c r="F334" s="12">
        <f>F333</f>
        <v>36</v>
      </c>
      <c r="G334" s="12">
        <f>(C334+D334+E334)</f>
        <v>114042.06388888888</v>
      </c>
      <c r="H334" s="25">
        <v>36</v>
      </c>
      <c r="I334" s="26">
        <f t="shared" si="8"/>
        <v>4105514.3</v>
      </c>
      <c r="J334" s="32">
        <f>J333</f>
        <v>575316</v>
      </c>
      <c r="K334" s="32">
        <f t="shared" si="9"/>
        <v>4680830.3</v>
      </c>
    </row>
    <row r="335" spans="1:11" ht="12.75">
      <c r="A335" s="9"/>
      <c r="B335" s="7" t="s">
        <v>147</v>
      </c>
      <c r="C335" s="12"/>
      <c r="D335" s="12"/>
      <c r="E335" s="12"/>
      <c r="F335" s="12">
        <f>F333</f>
        <v>36</v>
      </c>
      <c r="G335" s="12"/>
      <c r="H335" s="25"/>
      <c r="I335" s="26"/>
      <c r="J335" s="32"/>
      <c r="K335" s="32"/>
    </row>
    <row r="336" spans="1:11" ht="12.75">
      <c r="A336" s="9">
        <v>52</v>
      </c>
      <c r="B336" s="7" t="s">
        <v>131</v>
      </c>
      <c r="C336" s="11">
        <f>C337+C338</f>
        <v>101650</v>
      </c>
      <c r="D336" s="11">
        <f>D337+D338</f>
        <v>15046.488125</v>
      </c>
      <c r="E336" s="11">
        <f>E337+E338</f>
        <v>4713.43125</v>
      </c>
      <c r="F336" s="11">
        <v>32</v>
      </c>
      <c r="G336" s="11">
        <f>G337+G338</f>
        <v>121409.919375</v>
      </c>
      <c r="H336" s="25">
        <v>32</v>
      </c>
      <c r="I336" s="11">
        <f t="shared" si="8"/>
        <v>3885117.42</v>
      </c>
      <c r="J336" s="29">
        <v>365867.62</v>
      </c>
      <c r="K336" s="29">
        <f t="shared" si="9"/>
        <v>4250985.04</v>
      </c>
    </row>
    <row r="337" spans="1:11" ht="12.75">
      <c r="A337" s="9"/>
      <c r="B337" s="7" t="s">
        <v>17</v>
      </c>
      <c r="C337" s="12">
        <f>3252800/F337</f>
        <v>101650</v>
      </c>
      <c r="D337" s="12">
        <f>481487.62/F337</f>
        <v>15046.488125</v>
      </c>
      <c r="E337" s="12">
        <f>150829.8/F337</f>
        <v>4713.43125</v>
      </c>
      <c r="F337" s="12">
        <f>F336</f>
        <v>32</v>
      </c>
      <c r="G337" s="12">
        <f>(C337+D337+E337)</f>
        <v>121409.919375</v>
      </c>
      <c r="H337" s="25">
        <v>32</v>
      </c>
      <c r="I337" s="26">
        <f t="shared" si="8"/>
        <v>3885117.42</v>
      </c>
      <c r="J337" s="32">
        <f>J336</f>
        <v>365867.62</v>
      </c>
      <c r="K337" s="32">
        <f t="shared" si="9"/>
        <v>4250985.04</v>
      </c>
    </row>
    <row r="338" spans="1:11" ht="12.75">
      <c r="A338" s="9"/>
      <c r="B338" s="7" t="s">
        <v>147</v>
      </c>
      <c r="C338" s="12"/>
      <c r="D338" s="12"/>
      <c r="E338" s="12"/>
      <c r="F338" s="12">
        <f>F336</f>
        <v>32</v>
      </c>
      <c r="G338" s="12"/>
      <c r="H338" s="25"/>
      <c r="I338" s="26"/>
      <c r="J338" s="29"/>
      <c r="K338" s="29"/>
    </row>
    <row r="339" spans="1:11" ht="12.75">
      <c r="A339" s="9">
        <v>53</v>
      </c>
      <c r="B339" s="7" t="s">
        <v>132</v>
      </c>
      <c r="C339" s="11">
        <f>C340+C341</f>
        <v>80297.85714285714</v>
      </c>
      <c r="D339" s="11">
        <f>D340+D341</f>
        <v>7922.026214285714</v>
      </c>
      <c r="E339" s="11">
        <f>E340+E341</f>
        <v>1474.6057142857142</v>
      </c>
      <c r="F339" s="11">
        <v>140</v>
      </c>
      <c r="G339" s="11">
        <f>G340+G341</f>
        <v>89694.48907142857</v>
      </c>
      <c r="H339" s="25">
        <v>140</v>
      </c>
      <c r="I339" s="11">
        <f aca="true" t="shared" si="10" ref="I339:I382">G339*H339</f>
        <v>12557228.47</v>
      </c>
      <c r="J339" s="29">
        <v>823367.94</v>
      </c>
      <c r="K339" s="29">
        <f aca="true" t="shared" si="11" ref="K339:K382">I339+J339</f>
        <v>13380596.41</v>
      </c>
    </row>
    <row r="340" spans="1:11" ht="12.75">
      <c r="A340" s="9"/>
      <c r="B340" s="7" t="s">
        <v>17</v>
      </c>
      <c r="C340" s="12">
        <f>11241700/F340</f>
        <v>80297.85714285714</v>
      </c>
      <c r="D340" s="12">
        <f>1109083.67/F340</f>
        <v>7922.026214285714</v>
      </c>
      <c r="E340" s="12">
        <f>206444.8/F340</f>
        <v>1474.6057142857142</v>
      </c>
      <c r="F340" s="12">
        <f>F339</f>
        <v>140</v>
      </c>
      <c r="G340" s="12">
        <f>(C340+D340+E340)</f>
        <v>89694.48907142857</v>
      </c>
      <c r="H340" s="25">
        <v>140</v>
      </c>
      <c r="I340" s="26">
        <f t="shared" si="10"/>
        <v>12557228.47</v>
      </c>
      <c r="J340" s="32">
        <f>J339</f>
        <v>823367.94</v>
      </c>
      <c r="K340" s="32">
        <f t="shared" si="11"/>
        <v>13380596.41</v>
      </c>
    </row>
    <row r="341" spans="1:11" ht="12.75">
      <c r="A341" s="9"/>
      <c r="B341" s="7" t="s">
        <v>147</v>
      </c>
      <c r="C341" s="12"/>
      <c r="D341" s="12"/>
      <c r="E341" s="12"/>
      <c r="F341" s="12">
        <f>F339</f>
        <v>140</v>
      </c>
      <c r="G341" s="12"/>
      <c r="H341" s="25"/>
      <c r="I341" s="26"/>
      <c r="J341" s="32"/>
      <c r="K341" s="32"/>
    </row>
    <row r="342" spans="1:11" ht="12.75">
      <c r="A342" s="9">
        <v>54</v>
      </c>
      <c r="B342" s="7" t="s">
        <v>133</v>
      </c>
      <c r="C342" s="11">
        <f>C343+C344</f>
        <v>88528.57142857143</v>
      </c>
      <c r="D342" s="11">
        <f>D343+D344</f>
        <v>8665.665714285713</v>
      </c>
      <c r="E342" s="11">
        <f>E343+E344</f>
        <v>2499.006349206349</v>
      </c>
      <c r="F342" s="11">
        <v>63</v>
      </c>
      <c r="G342" s="11">
        <f>G343+G344</f>
        <v>99693.2434920635</v>
      </c>
      <c r="H342" s="25">
        <v>63</v>
      </c>
      <c r="I342" s="11">
        <f t="shared" si="10"/>
        <v>6280674.340000001</v>
      </c>
      <c r="J342" s="29">
        <v>408528.51</v>
      </c>
      <c r="K342" s="29">
        <f t="shared" si="11"/>
        <v>6689202.850000001</v>
      </c>
    </row>
    <row r="343" spans="1:11" ht="12.75">
      <c r="A343" s="9"/>
      <c r="B343" s="7" t="s">
        <v>17</v>
      </c>
      <c r="C343" s="12">
        <f>5577300/F343</f>
        <v>88528.57142857143</v>
      </c>
      <c r="D343" s="12">
        <f>545936.94/F343</f>
        <v>8665.665714285713</v>
      </c>
      <c r="E343" s="12">
        <f>157437.4/F343</f>
        <v>2499.006349206349</v>
      </c>
      <c r="F343" s="12">
        <f>F342</f>
        <v>63</v>
      </c>
      <c r="G343" s="12">
        <f>(C343+D343+E343)</f>
        <v>99693.2434920635</v>
      </c>
      <c r="H343" s="25">
        <v>63</v>
      </c>
      <c r="I343" s="26">
        <f t="shared" si="10"/>
        <v>6280674.340000001</v>
      </c>
      <c r="J343" s="32">
        <f>J342</f>
        <v>408528.51</v>
      </c>
      <c r="K343" s="32">
        <f t="shared" si="11"/>
        <v>6689202.850000001</v>
      </c>
    </row>
    <row r="344" spans="1:11" ht="12.75">
      <c r="A344" s="9"/>
      <c r="B344" s="7" t="s">
        <v>147</v>
      </c>
      <c r="C344" s="12"/>
      <c r="D344" s="12"/>
      <c r="E344" s="12"/>
      <c r="F344" s="12">
        <f>F342</f>
        <v>63</v>
      </c>
      <c r="G344" s="12"/>
      <c r="H344" s="25"/>
      <c r="I344" s="26"/>
      <c r="J344" s="32"/>
      <c r="K344" s="32"/>
    </row>
    <row r="345" spans="1:11" ht="12.75">
      <c r="A345" s="9">
        <v>55</v>
      </c>
      <c r="B345" s="7" t="s">
        <v>134</v>
      </c>
      <c r="C345" s="11">
        <f>C346+C347</f>
        <v>100470.58823529411</v>
      </c>
      <c r="D345" s="11">
        <f>D346+D347</f>
        <v>25901.20735294118</v>
      </c>
      <c r="E345" s="11">
        <f>E346+E347</f>
        <v>3202.6470588235293</v>
      </c>
      <c r="F345" s="11">
        <v>34</v>
      </c>
      <c r="G345" s="11">
        <f>G346+G347</f>
        <v>129574.44264705881</v>
      </c>
      <c r="H345" s="25">
        <v>34</v>
      </c>
      <c r="I345" s="11">
        <f t="shared" si="10"/>
        <v>4405531.05</v>
      </c>
      <c r="J345" s="29">
        <v>710434.65</v>
      </c>
      <c r="K345" s="29">
        <f t="shared" si="11"/>
        <v>5115965.7</v>
      </c>
    </row>
    <row r="346" spans="1:11" ht="12.75">
      <c r="A346" s="9"/>
      <c r="B346" s="7" t="s">
        <v>17</v>
      </c>
      <c r="C346" s="12">
        <f>3416000/F346</f>
        <v>100470.58823529411</v>
      </c>
      <c r="D346" s="12">
        <f>880641.05/F346</f>
        <v>25901.20735294118</v>
      </c>
      <c r="E346" s="12">
        <f>108890/F346</f>
        <v>3202.6470588235293</v>
      </c>
      <c r="F346" s="12">
        <f>F345</f>
        <v>34</v>
      </c>
      <c r="G346" s="12">
        <f>(C346+D346+E346)</f>
        <v>129574.44264705881</v>
      </c>
      <c r="H346" s="25">
        <v>34</v>
      </c>
      <c r="I346" s="26">
        <f t="shared" si="10"/>
        <v>4405531.05</v>
      </c>
      <c r="J346" s="32">
        <f>J345</f>
        <v>710434.65</v>
      </c>
      <c r="K346" s="32">
        <f t="shared" si="11"/>
        <v>5115965.7</v>
      </c>
    </row>
    <row r="347" spans="1:11" ht="12.75">
      <c r="A347" s="9"/>
      <c r="B347" s="7" t="s">
        <v>147</v>
      </c>
      <c r="C347" s="12"/>
      <c r="D347" s="12"/>
      <c r="E347" s="12"/>
      <c r="F347" s="12">
        <f>F345</f>
        <v>34</v>
      </c>
      <c r="G347" s="12"/>
      <c r="H347" s="25"/>
      <c r="I347" s="26"/>
      <c r="J347" s="32"/>
      <c r="K347" s="32"/>
    </row>
    <row r="348" spans="1:11" ht="12.75">
      <c r="A348" s="9">
        <v>56</v>
      </c>
      <c r="B348" s="7" t="s">
        <v>135</v>
      </c>
      <c r="C348" s="11">
        <f>C349+C350</f>
        <v>80556.09756097561</v>
      </c>
      <c r="D348" s="11">
        <f>D349+D350</f>
        <v>24422.46780487805</v>
      </c>
      <c r="E348" s="11">
        <f>E349+E350</f>
        <v>3521.4578048780486</v>
      </c>
      <c r="F348" s="11">
        <v>41</v>
      </c>
      <c r="G348" s="11">
        <f>G349+G350</f>
        <v>108500.02317073171</v>
      </c>
      <c r="H348" s="25">
        <v>41</v>
      </c>
      <c r="I348" s="11">
        <f t="shared" si="10"/>
        <v>4448500.95</v>
      </c>
      <c r="J348" s="29">
        <v>731484.67</v>
      </c>
      <c r="K348" s="29">
        <f t="shared" si="11"/>
        <v>5179985.62</v>
      </c>
    </row>
    <row r="349" spans="1:11" ht="12.75">
      <c r="A349" s="9"/>
      <c r="B349" s="7" t="s">
        <v>17</v>
      </c>
      <c r="C349" s="12">
        <f>3302800/F349</f>
        <v>80556.09756097561</v>
      </c>
      <c r="D349" s="12">
        <f>1001321.18/F349</f>
        <v>24422.46780487805</v>
      </c>
      <c r="E349" s="12">
        <f>144379.77/F349</f>
        <v>3521.4578048780486</v>
      </c>
      <c r="F349" s="12">
        <f>F348</f>
        <v>41</v>
      </c>
      <c r="G349" s="12">
        <f>(C349+D349+E349)</f>
        <v>108500.02317073171</v>
      </c>
      <c r="H349" s="25">
        <v>41</v>
      </c>
      <c r="I349" s="26">
        <f t="shared" si="10"/>
        <v>4448500.95</v>
      </c>
      <c r="J349" s="32">
        <f>J348</f>
        <v>731484.67</v>
      </c>
      <c r="K349" s="32">
        <f t="shared" si="11"/>
        <v>5179985.62</v>
      </c>
    </row>
    <row r="350" spans="1:11" ht="12.75">
      <c r="A350" s="9"/>
      <c r="B350" s="7" t="s">
        <v>147</v>
      </c>
      <c r="C350" s="12"/>
      <c r="D350" s="12"/>
      <c r="E350" s="12"/>
      <c r="F350" s="12">
        <f>F348</f>
        <v>41</v>
      </c>
      <c r="G350" s="12"/>
      <c r="H350" s="25"/>
      <c r="I350" s="26"/>
      <c r="J350" s="32"/>
      <c r="K350" s="32"/>
    </row>
    <row r="351" spans="1:11" ht="12.75">
      <c r="A351" s="9">
        <v>57</v>
      </c>
      <c r="B351" s="7" t="s">
        <v>136</v>
      </c>
      <c r="C351" s="11">
        <f>C352+C353</f>
        <v>79807.4074074074</v>
      </c>
      <c r="D351" s="11">
        <f>D352+D353</f>
        <v>15187.508148148147</v>
      </c>
      <c r="E351" s="11">
        <f>E352+E353</f>
        <v>4684.066666666667</v>
      </c>
      <c r="F351" s="11">
        <v>27</v>
      </c>
      <c r="G351" s="11">
        <f>G352+G353</f>
        <v>99678.98222222221</v>
      </c>
      <c r="H351" s="25">
        <v>27</v>
      </c>
      <c r="I351" s="11">
        <f t="shared" si="10"/>
        <v>2691332.5199999996</v>
      </c>
      <c r="J351" s="29">
        <v>321651.41</v>
      </c>
      <c r="K351" s="29">
        <f t="shared" si="11"/>
        <v>3012983.9299999997</v>
      </c>
    </row>
    <row r="352" spans="1:11" ht="12.75">
      <c r="A352" s="9"/>
      <c r="B352" s="7" t="s">
        <v>17</v>
      </c>
      <c r="C352" s="12">
        <f>2154800/F352</f>
        <v>79807.4074074074</v>
      </c>
      <c r="D352" s="12">
        <f>410062.72/F352</f>
        <v>15187.508148148147</v>
      </c>
      <c r="E352" s="12">
        <f>126469.8/F352</f>
        <v>4684.066666666667</v>
      </c>
      <c r="F352" s="12">
        <f>F351</f>
        <v>27</v>
      </c>
      <c r="G352" s="12">
        <f>(C352+D352+E352)</f>
        <v>99678.98222222221</v>
      </c>
      <c r="H352" s="25">
        <v>27</v>
      </c>
      <c r="I352" s="26">
        <f t="shared" si="10"/>
        <v>2691332.5199999996</v>
      </c>
      <c r="J352" s="32">
        <f>J351</f>
        <v>321651.41</v>
      </c>
      <c r="K352" s="32">
        <f t="shared" si="11"/>
        <v>3012983.9299999997</v>
      </c>
    </row>
    <row r="353" spans="1:11" ht="12.75">
      <c r="A353" s="9"/>
      <c r="B353" s="7" t="s">
        <v>147</v>
      </c>
      <c r="C353" s="12"/>
      <c r="D353" s="12"/>
      <c r="E353" s="12"/>
      <c r="F353" s="12">
        <f>F351</f>
        <v>27</v>
      </c>
      <c r="G353" s="12"/>
      <c r="H353" s="25"/>
      <c r="I353" s="26"/>
      <c r="J353" s="29"/>
      <c r="K353" s="29"/>
    </row>
    <row r="354" spans="1:11" ht="12.75">
      <c r="A354" s="9">
        <v>58</v>
      </c>
      <c r="B354" s="7" t="s">
        <v>137</v>
      </c>
      <c r="C354" s="11">
        <f>C355+C356</f>
        <v>52298.642533936654</v>
      </c>
      <c r="D354" s="11">
        <f>D355+D356</f>
        <v>3832.5769683257918</v>
      </c>
      <c r="E354" s="11">
        <f>E355+E356</f>
        <v>1275.4241176470587</v>
      </c>
      <c r="F354" s="11">
        <v>221</v>
      </c>
      <c r="G354" s="11">
        <f>G355+G356</f>
        <v>57406.643619909504</v>
      </c>
      <c r="H354" s="25">
        <v>221</v>
      </c>
      <c r="I354" s="11">
        <f t="shared" si="10"/>
        <v>12686868.24</v>
      </c>
      <c r="J354" s="29">
        <v>447433.28</v>
      </c>
      <c r="K354" s="29">
        <f t="shared" si="11"/>
        <v>13134301.52</v>
      </c>
    </row>
    <row r="355" spans="1:11" ht="12.75">
      <c r="A355" s="9"/>
      <c r="B355" s="7" t="s">
        <v>17</v>
      </c>
      <c r="C355" s="12">
        <f>11558000/F355</f>
        <v>52298.642533936654</v>
      </c>
      <c r="D355" s="12">
        <f>846999.51/F355</f>
        <v>3832.5769683257918</v>
      </c>
      <c r="E355" s="12">
        <f>281868.73/F355</f>
        <v>1275.4241176470587</v>
      </c>
      <c r="F355" s="12">
        <f>F354</f>
        <v>221</v>
      </c>
      <c r="G355" s="12">
        <f>(C355+D355+E355)</f>
        <v>57406.643619909504</v>
      </c>
      <c r="H355" s="25">
        <v>221</v>
      </c>
      <c r="I355" s="26">
        <f t="shared" si="10"/>
        <v>12686868.24</v>
      </c>
      <c r="J355" s="32">
        <f>J354</f>
        <v>447433.28</v>
      </c>
      <c r="K355" s="32">
        <f t="shared" si="11"/>
        <v>13134301.52</v>
      </c>
    </row>
    <row r="356" spans="1:11" ht="12.75">
      <c r="A356" s="9"/>
      <c r="B356" s="7" t="s">
        <v>147</v>
      </c>
      <c r="C356" s="12"/>
      <c r="D356" s="12"/>
      <c r="E356" s="12"/>
      <c r="F356" s="12">
        <f>F354</f>
        <v>221</v>
      </c>
      <c r="G356" s="12"/>
      <c r="H356" s="25"/>
      <c r="I356" s="26"/>
      <c r="J356" s="32"/>
      <c r="K356" s="32"/>
    </row>
    <row r="357" spans="1:11" ht="12.75">
      <c r="A357" s="9">
        <v>59</v>
      </c>
      <c r="B357" s="7" t="s">
        <v>138</v>
      </c>
      <c r="C357" s="11">
        <f>C358+C359</f>
        <v>85672.04301075269</v>
      </c>
      <c r="D357" s="11">
        <f>D358+D359</f>
        <v>6602.861505376344</v>
      </c>
      <c r="E357" s="11">
        <f>E358+E359</f>
        <v>8210.683870967741</v>
      </c>
      <c r="F357" s="11">
        <v>93</v>
      </c>
      <c r="G357" s="11">
        <f>G358+G359</f>
        <v>100485.58838709678</v>
      </c>
      <c r="H357" s="25">
        <v>93</v>
      </c>
      <c r="I357" s="11">
        <f t="shared" si="10"/>
        <v>9345159.72</v>
      </c>
      <c r="J357" s="29">
        <v>496818.46</v>
      </c>
      <c r="K357" s="29">
        <f t="shared" si="11"/>
        <v>9841978.180000002</v>
      </c>
    </row>
    <row r="358" spans="1:11" ht="12.75">
      <c r="A358" s="9"/>
      <c r="B358" s="7" t="s">
        <v>17</v>
      </c>
      <c r="C358" s="12">
        <f>7967500/F358</f>
        <v>85672.04301075269</v>
      </c>
      <c r="D358" s="12">
        <f>614066.12/F358</f>
        <v>6602.861505376344</v>
      </c>
      <c r="E358" s="12">
        <f>763593.6/F358</f>
        <v>8210.683870967741</v>
      </c>
      <c r="F358" s="12">
        <f>F357</f>
        <v>93</v>
      </c>
      <c r="G358" s="12">
        <f>(C358+D358+E358)</f>
        <v>100485.58838709678</v>
      </c>
      <c r="H358" s="25">
        <v>93</v>
      </c>
      <c r="I358" s="26">
        <f t="shared" si="10"/>
        <v>9345159.72</v>
      </c>
      <c r="J358" s="32">
        <f>J357</f>
        <v>496818.46</v>
      </c>
      <c r="K358" s="32">
        <f t="shared" si="11"/>
        <v>9841978.180000002</v>
      </c>
    </row>
    <row r="359" spans="1:11" ht="12.75">
      <c r="A359" s="9"/>
      <c r="B359" s="7" t="s">
        <v>147</v>
      </c>
      <c r="C359" s="12"/>
      <c r="D359" s="12"/>
      <c r="E359" s="12"/>
      <c r="F359" s="12">
        <f>F357</f>
        <v>93</v>
      </c>
      <c r="G359" s="12"/>
      <c r="H359" s="25"/>
      <c r="I359" s="26"/>
      <c r="J359" s="32"/>
      <c r="K359" s="32"/>
    </row>
    <row r="360" spans="1:11" ht="12.75">
      <c r="A360" s="9">
        <v>60</v>
      </c>
      <c r="B360" s="7" t="s">
        <v>139</v>
      </c>
      <c r="C360" s="11">
        <f>C361+C362</f>
        <v>49406.993006993005</v>
      </c>
      <c r="D360" s="11">
        <f>D361+D362</f>
        <v>3325.143006993007</v>
      </c>
      <c r="E360" s="11">
        <f>E361+E362</f>
        <v>1406.4506293706295</v>
      </c>
      <c r="F360" s="11">
        <v>143</v>
      </c>
      <c r="G360" s="11">
        <f>G361+G362</f>
        <v>54138.58664335664</v>
      </c>
      <c r="H360" s="25">
        <v>143</v>
      </c>
      <c r="I360" s="11">
        <f t="shared" si="10"/>
        <v>7741817.89</v>
      </c>
      <c r="J360" s="29">
        <v>229877.27</v>
      </c>
      <c r="K360" s="29">
        <f t="shared" si="11"/>
        <v>7971695.159999999</v>
      </c>
    </row>
    <row r="361" spans="1:11" ht="12.75">
      <c r="A361" s="9"/>
      <c r="B361" s="7" t="s">
        <v>17</v>
      </c>
      <c r="C361" s="12">
        <f>7065200/F361</f>
        <v>49406.993006993005</v>
      </c>
      <c r="D361" s="12">
        <f>475495.45/F361</f>
        <v>3325.143006993007</v>
      </c>
      <c r="E361" s="12">
        <f>201122.44/F361</f>
        <v>1406.4506293706295</v>
      </c>
      <c r="F361" s="12">
        <f>F360</f>
        <v>143</v>
      </c>
      <c r="G361" s="12">
        <f>(C361+D361+E361)</f>
        <v>54138.58664335664</v>
      </c>
      <c r="H361" s="25">
        <v>143</v>
      </c>
      <c r="I361" s="26">
        <f t="shared" si="10"/>
        <v>7741817.89</v>
      </c>
      <c r="J361" s="32">
        <f>J360</f>
        <v>229877.27</v>
      </c>
      <c r="K361" s="32">
        <f t="shared" si="11"/>
        <v>7971695.159999999</v>
      </c>
    </row>
    <row r="362" spans="1:11" ht="12.75">
      <c r="A362" s="9"/>
      <c r="B362" s="7" t="s">
        <v>147</v>
      </c>
      <c r="C362" s="12"/>
      <c r="D362" s="12"/>
      <c r="E362" s="12"/>
      <c r="F362" s="12">
        <f>F360</f>
        <v>143</v>
      </c>
      <c r="G362" s="12"/>
      <c r="H362" s="25"/>
      <c r="I362" s="26"/>
      <c r="J362" s="32"/>
      <c r="K362" s="32"/>
    </row>
    <row r="363" spans="1:11" ht="12.75">
      <c r="A363" s="9">
        <v>61</v>
      </c>
      <c r="B363" s="7" t="s">
        <v>140</v>
      </c>
      <c r="C363" s="11">
        <f>C364+C365</f>
        <v>82797.33333333333</v>
      </c>
      <c r="D363" s="11">
        <f>D364+D365</f>
        <v>7876.256933333334</v>
      </c>
      <c r="E363" s="11">
        <f>E364+E365</f>
        <v>1767.6462666666666</v>
      </c>
      <c r="F363" s="11">
        <v>75</v>
      </c>
      <c r="G363" s="11">
        <f>G364+G365</f>
        <v>92441.23653333333</v>
      </c>
      <c r="H363" s="25">
        <v>75</v>
      </c>
      <c r="I363" s="11">
        <f t="shared" si="10"/>
        <v>6933092.739999999</v>
      </c>
      <c r="J363" s="29">
        <v>282363.7</v>
      </c>
      <c r="K363" s="29">
        <f t="shared" si="11"/>
        <v>7215456.4399999995</v>
      </c>
    </row>
    <row r="364" spans="1:11" ht="12.75">
      <c r="A364" s="9"/>
      <c r="B364" s="7" t="s">
        <v>17</v>
      </c>
      <c r="C364" s="12">
        <f>6209800/F364</f>
        <v>82797.33333333333</v>
      </c>
      <c r="D364" s="12">
        <f>590719.27/F364</f>
        <v>7876.256933333334</v>
      </c>
      <c r="E364" s="12">
        <f>132573.47/F364</f>
        <v>1767.6462666666666</v>
      </c>
      <c r="F364" s="12">
        <f>F363</f>
        <v>75</v>
      </c>
      <c r="G364" s="12">
        <f>(C364+D364+E364)</f>
        <v>92441.23653333333</v>
      </c>
      <c r="H364" s="25">
        <v>75</v>
      </c>
      <c r="I364" s="26">
        <f t="shared" si="10"/>
        <v>6933092.739999999</v>
      </c>
      <c r="J364" s="32">
        <f>J363</f>
        <v>282363.7</v>
      </c>
      <c r="K364" s="32">
        <f t="shared" si="11"/>
        <v>7215456.4399999995</v>
      </c>
    </row>
    <row r="365" spans="1:11" ht="12.75">
      <c r="A365" s="9"/>
      <c r="B365" s="7" t="s">
        <v>147</v>
      </c>
      <c r="C365" s="12"/>
      <c r="D365" s="12"/>
      <c r="E365" s="12"/>
      <c r="F365" s="12">
        <f>F363</f>
        <v>75</v>
      </c>
      <c r="G365" s="12"/>
      <c r="H365" s="25"/>
      <c r="I365" s="26"/>
      <c r="J365" s="32"/>
      <c r="K365" s="32"/>
    </row>
    <row r="366" spans="1:11" ht="12.75">
      <c r="A366" s="9">
        <v>62</v>
      </c>
      <c r="B366" s="7" t="s">
        <v>141</v>
      </c>
      <c r="C366" s="11">
        <f>C367+C368</f>
        <v>97509.09090909091</v>
      </c>
      <c r="D366" s="11">
        <f>D367+D368</f>
        <v>4982.272727272727</v>
      </c>
      <c r="E366" s="11">
        <f>E367+E368</f>
        <v>5704.227272727273</v>
      </c>
      <c r="F366" s="11">
        <v>22</v>
      </c>
      <c r="G366" s="11">
        <f>G367+G368</f>
        <v>108195.59090909091</v>
      </c>
      <c r="H366" s="25">
        <v>22</v>
      </c>
      <c r="I366" s="11">
        <f t="shared" si="10"/>
        <v>2380303</v>
      </c>
      <c r="J366" s="29">
        <v>46790</v>
      </c>
      <c r="K366" s="29">
        <f t="shared" si="11"/>
        <v>2427093</v>
      </c>
    </row>
    <row r="367" spans="1:11" ht="12.75">
      <c r="A367" s="9"/>
      <c r="B367" s="7" t="s">
        <v>17</v>
      </c>
      <c r="C367" s="12">
        <f>2145200/F367</f>
        <v>97509.09090909091</v>
      </c>
      <c r="D367" s="12">
        <f>109610/F367</f>
        <v>4982.272727272727</v>
      </c>
      <c r="E367" s="12">
        <f>125493/F367</f>
        <v>5704.227272727273</v>
      </c>
      <c r="F367" s="12">
        <f>F366</f>
        <v>22</v>
      </c>
      <c r="G367" s="12">
        <f>(C367+D367+E367)</f>
        <v>108195.59090909091</v>
      </c>
      <c r="H367" s="25">
        <v>22</v>
      </c>
      <c r="I367" s="26">
        <f t="shared" si="10"/>
        <v>2380303</v>
      </c>
      <c r="J367" s="32">
        <f>J366</f>
        <v>46790</v>
      </c>
      <c r="K367" s="32">
        <f t="shared" si="11"/>
        <v>2427093</v>
      </c>
    </row>
    <row r="368" spans="1:11" ht="12.75">
      <c r="A368" s="9"/>
      <c r="B368" s="7" t="s">
        <v>147</v>
      </c>
      <c r="C368" s="12"/>
      <c r="D368" s="12"/>
      <c r="E368" s="12"/>
      <c r="F368" s="12">
        <f>F366</f>
        <v>22</v>
      </c>
      <c r="G368" s="12"/>
      <c r="H368" s="25"/>
      <c r="I368" s="26"/>
      <c r="J368" s="29"/>
      <c r="K368" s="29"/>
    </row>
    <row r="369" spans="1:11" ht="12.75">
      <c r="A369" s="9">
        <v>63</v>
      </c>
      <c r="B369" s="7" t="s">
        <v>142</v>
      </c>
      <c r="C369" s="11">
        <f>C370+C371</f>
        <v>48146.666666666664</v>
      </c>
      <c r="D369" s="11">
        <f>D370+D371</f>
        <v>3509.286833333333</v>
      </c>
      <c r="E369" s="11">
        <f>E370+E371</f>
        <v>1812.5014166666667</v>
      </c>
      <c r="F369" s="11">
        <v>120</v>
      </c>
      <c r="G369" s="11">
        <f>G370+G371</f>
        <v>53468.45491666666</v>
      </c>
      <c r="H369" s="25">
        <v>120</v>
      </c>
      <c r="I369" s="11">
        <f t="shared" si="10"/>
        <v>6416214.59</v>
      </c>
      <c r="J369" s="29">
        <v>214016.88</v>
      </c>
      <c r="K369" s="29">
        <f t="shared" si="11"/>
        <v>6630231.47</v>
      </c>
    </row>
    <row r="370" spans="1:11" ht="12.75">
      <c r="A370" s="9"/>
      <c r="B370" s="7" t="s">
        <v>17</v>
      </c>
      <c r="C370" s="12">
        <f>5777600/F370</f>
        <v>48146.666666666664</v>
      </c>
      <c r="D370" s="12">
        <f>421114.42/F370</f>
        <v>3509.286833333333</v>
      </c>
      <c r="E370" s="12">
        <f>217500.17/F370</f>
        <v>1812.5014166666667</v>
      </c>
      <c r="F370" s="12">
        <f>F369</f>
        <v>120</v>
      </c>
      <c r="G370" s="12">
        <f>(C370+D370+E370)</f>
        <v>53468.45491666666</v>
      </c>
      <c r="H370" s="25">
        <v>120</v>
      </c>
      <c r="I370" s="26">
        <f t="shared" si="10"/>
        <v>6416214.59</v>
      </c>
      <c r="J370" s="32">
        <f>J369</f>
        <v>214016.88</v>
      </c>
      <c r="K370" s="32">
        <f t="shared" si="11"/>
        <v>6630231.47</v>
      </c>
    </row>
    <row r="371" spans="1:11" ht="12.75">
      <c r="A371" s="9"/>
      <c r="B371" s="7" t="s">
        <v>147</v>
      </c>
      <c r="C371" s="12"/>
      <c r="D371" s="12"/>
      <c r="E371" s="12"/>
      <c r="F371" s="12">
        <f>F369</f>
        <v>120</v>
      </c>
      <c r="G371" s="12"/>
      <c r="H371" s="25"/>
      <c r="I371" s="26"/>
      <c r="J371" s="32"/>
      <c r="K371" s="32"/>
    </row>
    <row r="372" spans="1:11" ht="12.75">
      <c r="A372" s="9">
        <v>64</v>
      </c>
      <c r="B372" s="7" t="s">
        <v>143</v>
      </c>
      <c r="C372" s="11">
        <f>C373+C374</f>
        <v>58953.77358490566</v>
      </c>
      <c r="D372" s="11">
        <f>D373+D374</f>
        <v>5052.020566037736</v>
      </c>
      <c r="E372" s="11">
        <f>E373+E374</f>
        <v>2261.972641509434</v>
      </c>
      <c r="F372" s="11">
        <v>106</v>
      </c>
      <c r="G372" s="11">
        <f>G373+G374</f>
        <v>66267.76679245284</v>
      </c>
      <c r="H372" s="25">
        <v>106</v>
      </c>
      <c r="I372" s="11">
        <f t="shared" si="10"/>
        <v>7024383.28</v>
      </c>
      <c r="J372" s="29">
        <v>341908.76</v>
      </c>
      <c r="K372" s="29">
        <f t="shared" si="11"/>
        <v>7366292.04</v>
      </c>
    </row>
    <row r="373" spans="1:11" ht="12.75">
      <c r="A373" s="9"/>
      <c r="B373" s="7" t="s">
        <v>17</v>
      </c>
      <c r="C373" s="12">
        <f>6249100/F373</f>
        <v>58953.77358490566</v>
      </c>
      <c r="D373" s="12">
        <f>535514.18/F373</f>
        <v>5052.020566037736</v>
      </c>
      <c r="E373" s="12">
        <f>239769.1/F373</f>
        <v>2261.972641509434</v>
      </c>
      <c r="F373" s="12">
        <f>F372</f>
        <v>106</v>
      </c>
      <c r="G373" s="12">
        <f>(C373+D373+E373)</f>
        <v>66267.76679245284</v>
      </c>
      <c r="H373" s="25">
        <v>106</v>
      </c>
      <c r="I373" s="26">
        <f t="shared" si="10"/>
        <v>7024383.28</v>
      </c>
      <c r="J373" s="32">
        <f>J372</f>
        <v>341908.76</v>
      </c>
      <c r="K373" s="32">
        <f t="shared" si="11"/>
        <v>7366292.04</v>
      </c>
    </row>
    <row r="374" spans="1:11" ht="12.75">
      <c r="A374" s="9"/>
      <c r="B374" s="7" t="s">
        <v>147</v>
      </c>
      <c r="C374" s="12"/>
      <c r="D374" s="12"/>
      <c r="E374" s="12"/>
      <c r="F374" s="12">
        <f>F372</f>
        <v>106</v>
      </c>
      <c r="G374" s="12"/>
      <c r="H374" s="25"/>
      <c r="I374" s="26"/>
      <c r="J374" s="32"/>
      <c r="K374" s="32"/>
    </row>
    <row r="375" spans="1:11" ht="12.75">
      <c r="A375" s="9">
        <v>65</v>
      </c>
      <c r="B375" s="7" t="s">
        <v>144</v>
      </c>
      <c r="C375" s="11">
        <f>C376+C377</f>
        <v>113400</v>
      </c>
      <c r="D375" s="11">
        <f>D376+D377</f>
        <v>12780.795789473685</v>
      </c>
      <c r="E375" s="11">
        <f>E376+E377</f>
        <v>6770.416315789474</v>
      </c>
      <c r="F375" s="11">
        <v>19</v>
      </c>
      <c r="G375" s="11">
        <f>G376+G377</f>
        <v>132951.21210526317</v>
      </c>
      <c r="H375" s="25">
        <v>19</v>
      </c>
      <c r="I375" s="11">
        <f t="shared" si="10"/>
        <v>2526073.0300000003</v>
      </c>
      <c r="J375" s="29">
        <v>60359.46</v>
      </c>
      <c r="K375" s="29">
        <f t="shared" si="11"/>
        <v>2586432.49</v>
      </c>
    </row>
    <row r="376" spans="1:11" ht="12.75">
      <c r="A376" s="9"/>
      <c r="B376" s="7" t="s">
        <v>17</v>
      </c>
      <c r="C376" s="12">
        <f>2154600/F376</f>
        <v>113400</v>
      </c>
      <c r="D376" s="12">
        <f>242835.12/F376</f>
        <v>12780.795789473685</v>
      </c>
      <c r="E376" s="12">
        <f>128637.91/F376</f>
        <v>6770.416315789474</v>
      </c>
      <c r="F376" s="12">
        <f>F375</f>
        <v>19</v>
      </c>
      <c r="G376" s="12">
        <f>(C376+D376+E376)</f>
        <v>132951.21210526317</v>
      </c>
      <c r="H376" s="25">
        <v>19</v>
      </c>
      <c r="I376" s="26">
        <f t="shared" si="10"/>
        <v>2526073.0300000003</v>
      </c>
      <c r="J376" s="32">
        <f>J375</f>
        <v>60359.46</v>
      </c>
      <c r="K376" s="32">
        <f t="shared" si="11"/>
        <v>2586432.49</v>
      </c>
    </row>
    <row r="377" spans="1:11" ht="12.75">
      <c r="A377" s="9"/>
      <c r="B377" s="7" t="s">
        <v>147</v>
      </c>
      <c r="C377" s="12"/>
      <c r="D377" s="12"/>
      <c r="E377" s="12"/>
      <c r="F377" s="12">
        <f>F375</f>
        <v>19</v>
      </c>
      <c r="G377" s="12"/>
      <c r="H377" s="25"/>
      <c r="I377" s="26"/>
      <c r="J377" s="32"/>
      <c r="K377" s="32"/>
    </row>
    <row r="378" spans="1:11" ht="12.75">
      <c r="A378" s="9">
        <v>66</v>
      </c>
      <c r="B378" s="7" t="s">
        <v>145</v>
      </c>
      <c r="C378" s="11">
        <f>C379+C380</f>
        <v>96072.72727272728</v>
      </c>
      <c r="D378" s="11">
        <f>D379+D380</f>
        <v>34204.597727272725</v>
      </c>
      <c r="E378" s="11">
        <f>E379+E380</f>
        <v>6725.459090909091</v>
      </c>
      <c r="F378" s="11">
        <v>22</v>
      </c>
      <c r="G378" s="11">
        <f>G379+G380</f>
        <v>137002.78409090912</v>
      </c>
      <c r="H378" s="25">
        <v>22</v>
      </c>
      <c r="I378" s="11">
        <f t="shared" si="10"/>
        <v>3014061.2500000005</v>
      </c>
      <c r="J378" s="29">
        <v>642297.42</v>
      </c>
      <c r="K378" s="29">
        <f t="shared" si="11"/>
        <v>3656358.6700000004</v>
      </c>
    </row>
    <row r="379" spans="1:11" ht="12.75">
      <c r="A379" s="9"/>
      <c r="B379" s="7" t="s">
        <v>17</v>
      </c>
      <c r="C379" s="12">
        <f>2113600/F379</f>
        <v>96072.72727272728</v>
      </c>
      <c r="D379" s="12">
        <f>752501.15/F379</f>
        <v>34204.597727272725</v>
      </c>
      <c r="E379" s="12">
        <f>147960.1/F379</f>
        <v>6725.459090909091</v>
      </c>
      <c r="F379" s="12">
        <f>F378</f>
        <v>22</v>
      </c>
      <c r="G379" s="12">
        <f>(C379+D379+E379)</f>
        <v>137002.78409090912</v>
      </c>
      <c r="H379" s="25">
        <v>22</v>
      </c>
      <c r="I379" s="26">
        <f t="shared" si="10"/>
        <v>3014061.2500000005</v>
      </c>
      <c r="J379" s="32">
        <f>J378</f>
        <v>642297.42</v>
      </c>
      <c r="K379" s="32">
        <f t="shared" si="11"/>
        <v>3656358.6700000004</v>
      </c>
    </row>
    <row r="380" spans="1:11" ht="12.75">
      <c r="A380" s="9"/>
      <c r="B380" s="7" t="s">
        <v>147</v>
      </c>
      <c r="C380" s="12"/>
      <c r="D380" s="12"/>
      <c r="E380" s="12"/>
      <c r="F380" s="12">
        <f>F378</f>
        <v>22</v>
      </c>
      <c r="G380" s="12"/>
      <c r="H380" s="25"/>
      <c r="I380" s="26"/>
      <c r="J380" s="32"/>
      <c r="K380" s="32"/>
    </row>
    <row r="381" spans="1:11" ht="12.75">
      <c r="A381" s="9">
        <v>67</v>
      </c>
      <c r="B381" s="7" t="s">
        <v>146</v>
      </c>
      <c r="C381" s="11">
        <f>C382+C383</f>
        <v>68804.76190476191</v>
      </c>
      <c r="D381" s="11">
        <f>D382+D383</f>
        <v>6133.610952380952</v>
      </c>
      <c r="E381" s="11">
        <f>E382+E383</f>
        <v>2367.629365079365</v>
      </c>
      <c r="F381" s="11">
        <v>63</v>
      </c>
      <c r="G381" s="11">
        <f>G382+G383</f>
        <v>77306.00222222223</v>
      </c>
      <c r="H381" s="25">
        <v>63</v>
      </c>
      <c r="I381" s="11">
        <f t="shared" si="10"/>
        <v>4870278.140000001</v>
      </c>
      <c r="J381" s="29">
        <v>219301.94</v>
      </c>
      <c r="K381" s="29">
        <f t="shared" si="11"/>
        <v>5089580.080000001</v>
      </c>
    </row>
    <row r="382" spans="1:11" ht="12.75">
      <c r="A382" s="9"/>
      <c r="B382" s="7" t="s">
        <v>17</v>
      </c>
      <c r="C382" s="12">
        <f>4334700/F382</f>
        <v>68804.76190476191</v>
      </c>
      <c r="D382" s="12">
        <f>386417.49/F382</f>
        <v>6133.610952380952</v>
      </c>
      <c r="E382" s="12">
        <f>149160.65/F382</f>
        <v>2367.629365079365</v>
      </c>
      <c r="F382" s="12">
        <f>F381</f>
        <v>63</v>
      </c>
      <c r="G382" s="12">
        <f>(C382+D382+E382)</f>
        <v>77306.00222222223</v>
      </c>
      <c r="H382" s="25">
        <v>63</v>
      </c>
      <c r="I382" s="26">
        <f t="shared" si="10"/>
        <v>4870278.140000001</v>
      </c>
      <c r="J382" s="32">
        <f>J381</f>
        <v>219301.94</v>
      </c>
      <c r="K382" s="32">
        <f t="shared" si="11"/>
        <v>5089580.080000001</v>
      </c>
    </row>
    <row r="383" spans="1:11" ht="12.75">
      <c r="A383" s="9"/>
      <c r="B383" s="7" t="s">
        <v>147</v>
      </c>
      <c r="C383" s="12"/>
      <c r="D383" s="12"/>
      <c r="E383" s="12"/>
      <c r="F383" s="12">
        <f>F381</f>
        <v>63</v>
      </c>
      <c r="G383" s="12"/>
      <c r="H383" s="25"/>
      <c r="I383" s="26"/>
      <c r="J383" s="29"/>
      <c r="K383" s="29"/>
    </row>
    <row r="384" spans="3:9" ht="12.75">
      <c r="C384" s="14"/>
      <c r="D384" s="14"/>
      <c r="E384" s="14"/>
      <c r="F384" s="14"/>
      <c r="G384" s="14"/>
      <c r="H384" s="14"/>
      <c r="I384" s="14"/>
    </row>
    <row r="385" spans="3:7" ht="12.75">
      <c r="C385" s="14"/>
      <c r="D385" s="14"/>
      <c r="E385" s="14"/>
      <c r="F385" s="14"/>
      <c r="G385" s="14"/>
    </row>
    <row r="386" spans="1:10" s="36" customFormat="1" ht="15.75">
      <c r="A386" s="34" t="s">
        <v>161</v>
      </c>
      <c r="B386" s="34"/>
      <c r="C386" s="34"/>
      <c r="D386" s="34"/>
      <c r="E386" s="34"/>
      <c r="F386" s="34"/>
      <c r="G386" s="34"/>
      <c r="H386" s="35"/>
      <c r="J386" s="37"/>
    </row>
    <row r="387" spans="3:8" ht="12.75">
      <c r="C387" s="14"/>
      <c r="D387" s="14"/>
      <c r="E387" s="14"/>
      <c r="F387" s="14"/>
      <c r="G387" s="14"/>
      <c r="H387" s="27"/>
    </row>
    <row r="388" spans="3:7" ht="12.75">
      <c r="C388" s="14"/>
      <c r="D388" s="14"/>
      <c r="E388" s="14"/>
      <c r="F388" s="14"/>
      <c r="G388" s="14"/>
    </row>
    <row r="389" spans="3:7" ht="12.75">
      <c r="C389" s="14"/>
      <c r="D389" s="14"/>
      <c r="E389" s="14"/>
      <c r="F389" s="14"/>
      <c r="G389" s="14"/>
    </row>
    <row r="390" spans="3:7" ht="12.75">
      <c r="C390" s="14"/>
      <c r="D390" s="14"/>
      <c r="E390" s="14"/>
      <c r="F390" s="14"/>
      <c r="G390" s="14"/>
    </row>
    <row r="391" spans="3:7" ht="12.75">
      <c r="C391" s="14"/>
      <c r="D391" s="14"/>
      <c r="E391" s="14"/>
      <c r="F391" s="14"/>
      <c r="G391" s="14"/>
    </row>
    <row r="392" spans="3:7" ht="12.75">
      <c r="C392" s="14"/>
      <c r="D392" s="14"/>
      <c r="E392" s="14"/>
      <c r="F392" s="14"/>
      <c r="G392" s="14"/>
    </row>
    <row r="393" spans="3:7" ht="12.75">
      <c r="C393" s="14"/>
      <c r="D393" s="14"/>
      <c r="E393" s="14"/>
      <c r="F393" s="14"/>
      <c r="G393" s="14"/>
    </row>
    <row r="394" spans="3:7" ht="12.75">
      <c r="C394" s="14"/>
      <c r="D394" s="14"/>
      <c r="E394" s="14"/>
      <c r="F394" s="14"/>
      <c r="G394" s="14"/>
    </row>
    <row r="395" spans="3:7" ht="12.75">
      <c r="C395" s="14"/>
      <c r="D395" s="14"/>
      <c r="E395" s="14"/>
      <c r="F395" s="14"/>
      <c r="G395" s="14"/>
    </row>
    <row r="396" spans="3:7" ht="12.75">
      <c r="C396" s="14"/>
      <c r="D396" s="14"/>
      <c r="E396" s="14"/>
      <c r="F396" s="14"/>
      <c r="G396" s="14"/>
    </row>
    <row r="397" spans="3:7" ht="12.75">
      <c r="C397" s="14"/>
      <c r="D397" s="14"/>
      <c r="E397" s="14"/>
      <c r="F397" s="14"/>
      <c r="G397" s="14"/>
    </row>
    <row r="398" spans="3:7" ht="12.75">
      <c r="C398" s="14"/>
      <c r="D398" s="14"/>
      <c r="E398" s="14"/>
      <c r="F398" s="14"/>
      <c r="G398" s="14"/>
    </row>
    <row r="399" spans="3:7" ht="12.75">
      <c r="C399" s="14"/>
      <c r="D399" s="14"/>
      <c r="E399" s="14"/>
      <c r="F399" s="14"/>
      <c r="G399" s="14"/>
    </row>
    <row r="400" spans="3:7" ht="12.75">
      <c r="C400" s="14"/>
      <c r="D400" s="14"/>
      <c r="E400" s="14"/>
      <c r="F400" s="14"/>
      <c r="G400" s="14"/>
    </row>
    <row r="401" spans="3:7" ht="12.75">
      <c r="C401" s="14"/>
      <c r="D401" s="14"/>
      <c r="E401" s="14"/>
      <c r="F401" s="14"/>
      <c r="G401" s="14"/>
    </row>
    <row r="402" spans="3:7" ht="12.75">
      <c r="C402" s="14"/>
      <c r="D402" s="14"/>
      <c r="E402" s="14"/>
      <c r="F402" s="14"/>
      <c r="G402" s="14"/>
    </row>
    <row r="403" spans="3:7" ht="12.75">
      <c r="C403" s="14"/>
      <c r="D403" s="14"/>
      <c r="E403" s="14"/>
      <c r="F403" s="14"/>
      <c r="G403" s="14"/>
    </row>
    <row r="404" spans="3:7" ht="12.75">
      <c r="C404" s="14"/>
      <c r="D404" s="14"/>
      <c r="E404" s="14"/>
      <c r="F404" s="14"/>
      <c r="G404" s="14"/>
    </row>
  </sheetData>
  <sheetProtection/>
  <mergeCells count="11">
    <mergeCell ref="A13:A14"/>
    <mergeCell ref="B13:B14"/>
    <mergeCell ref="A9:K9"/>
    <mergeCell ref="A8:K8"/>
    <mergeCell ref="A10:K10"/>
    <mergeCell ref="A11:K11"/>
    <mergeCell ref="J13:J14"/>
    <mergeCell ref="K13:K14"/>
    <mergeCell ref="H13:I13"/>
    <mergeCell ref="B15:G15"/>
    <mergeCell ref="C13:G13"/>
  </mergeCells>
  <printOptions/>
  <pageMargins left="0.9448818897637796" right="0.35433070866141736" top="0.7874015748031497" bottom="0.7874015748031497" header="0.5118110236220472" footer="0.1968503937007874"/>
  <pageSetup horizontalDpi="600" verticalDpi="600" orientation="landscape" paperSize="9" scale="65" r:id="rId1"/>
  <rowBreaks count="7" manualBreakCount="7">
    <brk id="52" max="10" man="1"/>
    <brk id="103" max="10" man="1"/>
    <brk id="153" max="10" man="1"/>
    <brk id="203" max="10" man="1"/>
    <brk id="254" max="10" man="1"/>
    <brk id="305" max="10" man="1"/>
    <brk id="3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="75" zoomScaleNormal="75" workbookViewId="0" topLeftCell="A1">
      <selection activeCell="A14" sqref="A14:E15"/>
    </sheetView>
  </sheetViews>
  <sheetFormatPr defaultColWidth="9.140625" defaultRowHeight="12"/>
  <cols>
    <col min="1" max="1" width="10.57421875" style="0" customWidth="1"/>
    <col min="2" max="2" width="30.7109375" style="0" customWidth="1"/>
    <col min="3" max="3" width="21.8515625" style="0" customWidth="1"/>
    <col min="4" max="4" width="25.7109375" style="0" customWidth="1"/>
    <col min="5" max="5" width="24.28125" style="0" customWidth="1"/>
  </cols>
  <sheetData>
    <row r="1" ht="12">
      <c r="E1" t="s">
        <v>19</v>
      </c>
    </row>
    <row r="2" ht="12">
      <c r="E2" t="s">
        <v>1</v>
      </c>
    </row>
    <row r="3" ht="12">
      <c r="E3" t="s">
        <v>2</v>
      </c>
    </row>
    <row r="4" ht="12">
      <c r="E4" t="s">
        <v>3</v>
      </c>
    </row>
    <row r="5" ht="12">
      <c r="E5" t="s">
        <v>4</v>
      </c>
    </row>
    <row r="6" ht="12">
      <c r="E6" t="s">
        <v>5</v>
      </c>
    </row>
    <row r="8" spans="1:12" ht="12">
      <c r="A8" s="46" t="s">
        <v>6</v>
      </c>
      <c r="B8" s="46"/>
      <c r="C8" s="46"/>
      <c r="D8" s="46"/>
      <c r="E8" s="46"/>
      <c r="F8" s="1"/>
      <c r="G8" s="1"/>
      <c r="H8" s="1"/>
      <c r="I8" s="1"/>
      <c r="J8" s="1"/>
      <c r="K8" s="1"/>
      <c r="L8" s="1"/>
    </row>
    <row r="9" spans="1:12" ht="12">
      <c r="A9" s="46" t="s">
        <v>20</v>
      </c>
      <c r="B9" s="46"/>
      <c r="C9" s="46"/>
      <c r="D9" s="46"/>
      <c r="E9" s="46"/>
      <c r="F9" s="1"/>
      <c r="G9" s="1"/>
      <c r="H9" s="1"/>
      <c r="I9" s="1"/>
      <c r="J9" s="1"/>
      <c r="K9" s="1"/>
      <c r="L9" s="1"/>
    </row>
    <row r="10" spans="1:12" ht="12">
      <c r="A10" s="46" t="s">
        <v>7</v>
      </c>
      <c r="B10" s="46"/>
      <c r="C10" s="46"/>
      <c r="D10" s="46"/>
      <c r="E10" s="46"/>
      <c r="F10" s="1"/>
      <c r="G10" s="1"/>
      <c r="H10" s="1"/>
      <c r="I10" s="1"/>
      <c r="J10" s="1"/>
      <c r="K10" s="1"/>
      <c r="L10" s="1"/>
    </row>
    <row r="11" spans="1:12" ht="12">
      <c r="A11" s="46" t="s">
        <v>155</v>
      </c>
      <c r="B11" s="46"/>
      <c r="C11" s="46"/>
      <c r="D11" s="46"/>
      <c r="E11" s="46"/>
      <c r="F11" s="1"/>
      <c r="G11" s="1"/>
      <c r="H11" s="1"/>
      <c r="I11" s="1"/>
      <c r="J11" s="1"/>
      <c r="K11" s="1"/>
      <c r="L11" s="1"/>
    </row>
    <row r="12" spans="1:12" ht="12">
      <c r="A12" s="46" t="s">
        <v>156</v>
      </c>
      <c r="B12" s="46"/>
      <c r="C12" s="46"/>
      <c r="D12" s="46"/>
      <c r="E12" s="46"/>
      <c r="F12" s="1"/>
      <c r="G12" s="1"/>
      <c r="H12" s="1"/>
      <c r="I12" s="1"/>
      <c r="J12" s="1"/>
      <c r="K12" s="1"/>
      <c r="L12" s="1"/>
    </row>
    <row r="14" spans="1:5" ht="24" customHeight="1">
      <c r="A14" s="48" t="s">
        <v>9</v>
      </c>
      <c r="B14" s="49" t="s">
        <v>21</v>
      </c>
      <c r="C14" s="48" t="s">
        <v>22</v>
      </c>
      <c r="D14" s="48"/>
      <c r="E14" s="48"/>
    </row>
    <row r="15" spans="1:5" ht="70.5" customHeight="1">
      <c r="A15" s="48"/>
      <c r="B15" s="49"/>
      <c r="C15" s="2" t="s">
        <v>23</v>
      </c>
      <c r="D15" s="2" t="s">
        <v>24</v>
      </c>
      <c r="E15" s="2" t="s">
        <v>25</v>
      </c>
    </row>
    <row r="16" spans="1:5" ht="12">
      <c r="A16" s="3">
        <v>1</v>
      </c>
      <c r="B16" s="51" t="s">
        <v>16</v>
      </c>
      <c r="C16" s="51"/>
      <c r="D16" s="51"/>
      <c r="E16" s="51"/>
    </row>
    <row r="17" spans="1:5" ht="24">
      <c r="A17" s="9">
        <v>1</v>
      </c>
      <c r="B17" s="8" t="s">
        <v>148</v>
      </c>
      <c r="C17" s="4">
        <v>298265.02</v>
      </c>
      <c r="D17" s="4">
        <v>40000</v>
      </c>
      <c r="E17" s="15">
        <f>C17+D17</f>
        <v>338265.02</v>
      </c>
    </row>
    <row r="18" spans="1:5" ht="24">
      <c r="A18" s="9">
        <v>2</v>
      </c>
      <c r="B18" s="7" t="s">
        <v>26</v>
      </c>
      <c r="C18" s="4">
        <v>1342519.39</v>
      </c>
      <c r="D18" s="4">
        <v>2093826.42</v>
      </c>
      <c r="E18" s="15">
        <f aca="true" t="shared" si="0" ref="E18:E60">C18+D18</f>
        <v>3436345.8099999996</v>
      </c>
    </row>
    <row r="19" spans="1:5" ht="12">
      <c r="A19" s="9">
        <v>3</v>
      </c>
      <c r="B19" s="7" t="s">
        <v>27</v>
      </c>
      <c r="C19" s="4">
        <v>191868.54</v>
      </c>
      <c r="D19" s="4">
        <v>100000</v>
      </c>
      <c r="E19" s="15">
        <f t="shared" si="0"/>
        <v>291868.54000000004</v>
      </c>
    </row>
    <row r="20" spans="1:5" ht="24">
      <c r="A20" s="9">
        <v>4</v>
      </c>
      <c r="B20" s="7" t="s">
        <v>28</v>
      </c>
      <c r="C20" s="4">
        <v>755710.01</v>
      </c>
      <c r="D20" s="4">
        <v>200000</v>
      </c>
      <c r="E20" s="15">
        <f t="shared" si="0"/>
        <v>955710.01</v>
      </c>
    </row>
    <row r="21" spans="1:5" ht="24">
      <c r="A21" s="9">
        <v>5</v>
      </c>
      <c r="B21" s="7" t="s">
        <v>29</v>
      </c>
      <c r="C21" s="4">
        <v>800021.45</v>
      </c>
      <c r="D21" s="4">
        <v>400000</v>
      </c>
      <c r="E21" s="15">
        <f t="shared" si="0"/>
        <v>1200021.45</v>
      </c>
    </row>
    <row r="22" spans="1:5" ht="24">
      <c r="A22" s="9">
        <v>6</v>
      </c>
      <c r="B22" s="7" t="s">
        <v>30</v>
      </c>
      <c r="C22" s="4">
        <v>869828.21</v>
      </c>
      <c r="D22" s="4">
        <v>540000</v>
      </c>
      <c r="E22" s="15">
        <f t="shared" si="0"/>
        <v>1409828.21</v>
      </c>
    </row>
    <row r="23" spans="1:5" ht="24">
      <c r="A23" s="9">
        <v>7</v>
      </c>
      <c r="B23" s="7" t="s">
        <v>31</v>
      </c>
      <c r="C23" s="4">
        <v>300137.65</v>
      </c>
      <c r="D23" s="4">
        <v>400000</v>
      </c>
      <c r="E23" s="15">
        <f t="shared" si="0"/>
        <v>700137.65</v>
      </c>
    </row>
    <row r="24" spans="1:5" ht="24">
      <c r="A24" s="9">
        <v>8</v>
      </c>
      <c r="B24" s="7" t="s">
        <v>32</v>
      </c>
      <c r="C24" s="4">
        <v>810255.53</v>
      </c>
      <c r="D24" s="4">
        <v>96000</v>
      </c>
      <c r="E24" s="15">
        <f t="shared" si="0"/>
        <v>906255.53</v>
      </c>
    </row>
    <row r="25" spans="1:5" ht="24">
      <c r="A25" s="9">
        <v>9</v>
      </c>
      <c r="B25" s="7" t="s">
        <v>33</v>
      </c>
      <c r="C25" s="4">
        <v>616169.15</v>
      </c>
      <c r="D25" s="4">
        <v>104000</v>
      </c>
      <c r="E25" s="15">
        <f t="shared" si="0"/>
        <v>720169.15</v>
      </c>
    </row>
    <row r="26" spans="1:5" ht="24">
      <c r="A26" s="9">
        <v>10</v>
      </c>
      <c r="B26" s="7" t="s">
        <v>34</v>
      </c>
      <c r="C26" s="4">
        <v>515070</v>
      </c>
      <c r="D26" s="4">
        <v>5200</v>
      </c>
      <c r="E26" s="15">
        <f t="shared" si="0"/>
        <v>520270</v>
      </c>
    </row>
    <row r="27" spans="1:5" ht="24">
      <c r="A27" s="9">
        <v>11</v>
      </c>
      <c r="B27" s="7" t="s">
        <v>35</v>
      </c>
      <c r="C27" s="4">
        <v>898078.06</v>
      </c>
      <c r="D27" s="4"/>
      <c r="E27" s="15">
        <f t="shared" si="0"/>
        <v>898078.06</v>
      </c>
    </row>
    <row r="28" spans="1:5" ht="24">
      <c r="A28" s="9">
        <v>12</v>
      </c>
      <c r="B28" s="7" t="s">
        <v>36</v>
      </c>
      <c r="C28" s="4">
        <v>551201.44</v>
      </c>
      <c r="D28" s="4">
        <v>39400</v>
      </c>
      <c r="E28" s="15">
        <f t="shared" si="0"/>
        <v>590601.44</v>
      </c>
    </row>
    <row r="29" spans="1:5" ht="24">
      <c r="A29" s="9">
        <v>13</v>
      </c>
      <c r="B29" s="7" t="s">
        <v>37</v>
      </c>
      <c r="C29" s="4">
        <v>865463.88</v>
      </c>
      <c r="D29" s="4">
        <v>100000</v>
      </c>
      <c r="E29" s="15">
        <f t="shared" si="0"/>
        <v>965463.88</v>
      </c>
    </row>
    <row r="30" spans="1:5" ht="24">
      <c r="A30" s="9">
        <v>14</v>
      </c>
      <c r="B30" s="7" t="s">
        <v>39</v>
      </c>
      <c r="C30" s="4">
        <v>668324.32</v>
      </c>
      <c r="D30" s="4">
        <v>125100</v>
      </c>
      <c r="E30" s="15">
        <f t="shared" si="0"/>
        <v>793424.32</v>
      </c>
    </row>
    <row r="31" spans="1:5" ht="24">
      <c r="A31" s="9">
        <v>15</v>
      </c>
      <c r="B31" s="7" t="s">
        <v>38</v>
      </c>
      <c r="C31" s="4">
        <v>822932.02</v>
      </c>
      <c r="D31" s="4">
        <v>162000</v>
      </c>
      <c r="E31" s="15">
        <f t="shared" si="0"/>
        <v>984932.02</v>
      </c>
    </row>
    <row r="32" spans="1:5" ht="24">
      <c r="A32" s="9">
        <v>16</v>
      </c>
      <c r="B32" s="7" t="s">
        <v>40</v>
      </c>
      <c r="C32" s="4">
        <v>805930.02</v>
      </c>
      <c r="D32" s="4">
        <v>180000</v>
      </c>
      <c r="E32" s="15">
        <f t="shared" si="0"/>
        <v>985930.02</v>
      </c>
    </row>
    <row r="33" spans="1:5" ht="24">
      <c r="A33" s="9">
        <v>17</v>
      </c>
      <c r="B33" s="7" t="s">
        <v>41</v>
      </c>
      <c r="C33" s="4">
        <v>790560.9</v>
      </c>
      <c r="D33" s="4">
        <v>312000</v>
      </c>
      <c r="E33" s="15">
        <f t="shared" si="0"/>
        <v>1102560.9</v>
      </c>
    </row>
    <row r="34" spans="1:5" ht="24">
      <c r="A34" s="9">
        <v>18</v>
      </c>
      <c r="B34" s="7" t="s">
        <v>42</v>
      </c>
      <c r="C34" s="4">
        <v>845648.48</v>
      </c>
      <c r="D34" s="4">
        <v>180000</v>
      </c>
      <c r="E34" s="15">
        <f t="shared" si="0"/>
        <v>1025648.48</v>
      </c>
    </row>
    <row r="35" spans="1:5" ht="24">
      <c r="A35" s="9">
        <v>19</v>
      </c>
      <c r="B35" s="7" t="s">
        <v>43</v>
      </c>
      <c r="C35" s="4">
        <v>747802.39</v>
      </c>
      <c r="D35" s="4">
        <v>183800</v>
      </c>
      <c r="E35" s="15">
        <f t="shared" si="0"/>
        <v>931602.39</v>
      </c>
    </row>
    <row r="36" spans="1:5" ht="24">
      <c r="A36" s="9">
        <v>20</v>
      </c>
      <c r="B36" s="7" t="s">
        <v>44</v>
      </c>
      <c r="C36" s="4">
        <v>273059.31</v>
      </c>
      <c r="D36" s="4">
        <v>60000</v>
      </c>
      <c r="E36" s="15">
        <f t="shared" si="0"/>
        <v>333059.31</v>
      </c>
    </row>
    <row r="37" spans="1:5" ht="24">
      <c r="A37" s="9">
        <v>21</v>
      </c>
      <c r="B37" s="7" t="s">
        <v>45</v>
      </c>
      <c r="C37" s="4">
        <v>435798.47</v>
      </c>
      <c r="D37" s="4">
        <v>168600</v>
      </c>
      <c r="E37" s="15">
        <f t="shared" si="0"/>
        <v>604398.47</v>
      </c>
    </row>
    <row r="38" spans="1:5" ht="24">
      <c r="A38" s="9">
        <v>22</v>
      </c>
      <c r="B38" s="7" t="s">
        <v>46</v>
      </c>
      <c r="C38" s="4">
        <v>674918.08</v>
      </c>
      <c r="D38" s="4">
        <v>160000</v>
      </c>
      <c r="E38" s="15">
        <f t="shared" si="0"/>
        <v>834918.08</v>
      </c>
    </row>
    <row r="39" spans="1:5" ht="24">
      <c r="A39" s="9">
        <v>23</v>
      </c>
      <c r="B39" s="7" t="s">
        <v>47</v>
      </c>
      <c r="C39" s="4">
        <v>1418559.95</v>
      </c>
      <c r="D39" s="4">
        <v>63481.55</v>
      </c>
      <c r="E39" s="15">
        <f t="shared" si="0"/>
        <v>1482041.5</v>
      </c>
    </row>
    <row r="40" spans="1:5" ht="24">
      <c r="A40" s="9">
        <v>24</v>
      </c>
      <c r="B40" s="7" t="s">
        <v>48</v>
      </c>
      <c r="C40" s="4">
        <v>494550.31</v>
      </c>
      <c r="D40" s="4">
        <v>225000</v>
      </c>
      <c r="E40" s="15">
        <f t="shared" si="0"/>
        <v>719550.31</v>
      </c>
    </row>
    <row r="41" spans="1:5" ht="24">
      <c r="A41" s="9">
        <v>25</v>
      </c>
      <c r="B41" s="7" t="s">
        <v>49</v>
      </c>
      <c r="C41" s="4">
        <v>256968.73</v>
      </c>
      <c r="D41" s="4">
        <v>29400</v>
      </c>
      <c r="E41" s="15">
        <f t="shared" si="0"/>
        <v>286368.73</v>
      </c>
    </row>
    <row r="42" spans="1:5" ht="24">
      <c r="A42" s="9">
        <v>26</v>
      </c>
      <c r="B42" s="7" t="s">
        <v>50</v>
      </c>
      <c r="C42" s="4">
        <v>1064937.01</v>
      </c>
      <c r="D42" s="4">
        <v>200000</v>
      </c>
      <c r="E42" s="15">
        <f t="shared" si="0"/>
        <v>1264937.01</v>
      </c>
    </row>
    <row r="43" spans="1:5" ht="24">
      <c r="A43" s="9">
        <v>27</v>
      </c>
      <c r="B43" s="7" t="s">
        <v>51</v>
      </c>
      <c r="C43" s="4">
        <v>249151.71</v>
      </c>
      <c r="D43" s="4">
        <v>154300</v>
      </c>
      <c r="E43" s="15">
        <f t="shared" si="0"/>
        <v>403451.70999999996</v>
      </c>
    </row>
    <row r="44" spans="1:5" ht="24">
      <c r="A44" s="9">
        <v>28</v>
      </c>
      <c r="B44" s="7" t="s">
        <v>52</v>
      </c>
      <c r="C44" s="4">
        <v>838731.25</v>
      </c>
      <c r="D44" s="4">
        <v>60000</v>
      </c>
      <c r="E44" s="15">
        <f t="shared" si="0"/>
        <v>898731.25</v>
      </c>
    </row>
    <row r="45" spans="1:5" ht="24">
      <c r="A45" s="9">
        <v>29</v>
      </c>
      <c r="B45" s="7" t="s">
        <v>53</v>
      </c>
      <c r="C45" s="4">
        <v>780117.64</v>
      </c>
      <c r="D45" s="4">
        <v>25200</v>
      </c>
      <c r="E45" s="15">
        <f t="shared" si="0"/>
        <v>805317.64</v>
      </c>
    </row>
    <row r="46" spans="1:5" ht="24">
      <c r="A46" s="9">
        <v>30</v>
      </c>
      <c r="B46" s="7" t="s">
        <v>54</v>
      </c>
      <c r="C46" s="4">
        <v>1143190</v>
      </c>
      <c r="D46" s="4">
        <v>432700</v>
      </c>
      <c r="E46" s="15">
        <f t="shared" si="0"/>
        <v>1575890</v>
      </c>
    </row>
    <row r="47" spans="1:5" ht="24">
      <c r="A47" s="9">
        <v>31</v>
      </c>
      <c r="B47" s="7" t="s">
        <v>55</v>
      </c>
      <c r="C47" s="4">
        <v>704483.95</v>
      </c>
      <c r="D47" s="4">
        <v>100673.37</v>
      </c>
      <c r="E47" s="15">
        <f t="shared" si="0"/>
        <v>805157.32</v>
      </c>
    </row>
    <row r="48" spans="1:5" ht="24">
      <c r="A48" s="9">
        <v>32</v>
      </c>
      <c r="B48" s="7" t="s">
        <v>56</v>
      </c>
      <c r="C48" s="4">
        <v>916056.51</v>
      </c>
      <c r="D48" s="4">
        <v>16600</v>
      </c>
      <c r="E48" s="15">
        <f t="shared" si="0"/>
        <v>932656.51</v>
      </c>
    </row>
    <row r="49" spans="1:5" ht="24">
      <c r="A49" s="9">
        <v>33</v>
      </c>
      <c r="B49" s="7" t="s">
        <v>57</v>
      </c>
      <c r="C49" s="4">
        <v>305781.05</v>
      </c>
      <c r="D49" s="4">
        <v>6600</v>
      </c>
      <c r="E49" s="15">
        <f t="shared" si="0"/>
        <v>312381.05</v>
      </c>
    </row>
    <row r="50" spans="1:5" ht="24">
      <c r="A50" s="9">
        <v>34</v>
      </c>
      <c r="B50" s="7" t="s">
        <v>58</v>
      </c>
      <c r="C50" s="4">
        <v>639767.28</v>
      </c>
      <c r="D50" s="4">
        <v>3000</v>
      </c>
      <c r="E50" s="15">
        <f t="shared" si="0"/>
        <v>642767.28</v>
      </c>
    </row>
    <row r="51" spans="1:5" ht="24">
      <c r="A51" s="9">
        <v>35</v>
      </c>
      <c r="B51" s="7" t="s">
        <v>59</v>
      </c>
      <c r="C51" s="4">
        <v>1287440</v>
      </c>
      <c r="D51" s="4">
        <v>12498821.94</v>
      </c>
      <c r="E51" s="15">
        <f t="shared" si="0"/>
        <v>13786261.94</v>
      </c>
    </row>
    <row r="52" spans="1:5" ht="24">
      <c r="A52" s="9">
        <v>36</v>
      </c>
      <c r="B52" s="7" t="s">
        <v>60</v>
      </c>
      <c r="C52" s="4">
        <v>345621.83</v>
      </c>
      <c r="D52" s="4">
        <v>40000</v>
      </c>
      <c r="E52" s="15">
        <f t="shared" si="0"/>
        <v>385621.83</v>
      </c>
    </row>
    <row r="53" spans="1:5" ht="24">
      <c r="A53" s="9">
        <v>37</v>
      </c>
      <c r="B53" s="7" t="s">
        <v>61</v>
      </c>
      <c r="C53" s="4">
        <v>706243.04</v>
      </c>
      <c r="D53" s="4">
        <v>675400</v>
      </c>
      <c r="E53" s="15">
        <f t="shared" si="0"/>
        <v>1381643.04</v>
      </c>
    </row>
    <row r="54" spans="1:5" ht="24">
      <c r="A54" s="9">
        <v>38</v>
      </c>
      <c r="B54" s="7" t="s">
        <v>62</v>
      </c>
      <c r="C54" s="4">
        <v>438073.19</v>
      </c>
      <c r="D54" s="4">
        <v>70000</v>
      </c>
      <c r="E54" s="15">
        <f t="shared" si="0"/>
        <v>508073.19</v>
      </c>
    </row>
    <row r="55" spans="1:5" ht="24">
      <c r="A55" s="9">
        <v>39</v>
      </c>
      <c r="B55" s="7" t="s">
        <v>63</v>
      </c>
      <c r="C55" s="4">
        <v>1321155.87</v>
      </c>
      <c r="D55" s="4">
        <v>64000</v>
      </c>
      <c r="E55" s="15">
        <f t="shared" si="0"/>
        <v>1385155.87</v>
      </c>
    </row>
    <row r="56" spans="1:5" ht="24">
      <c r="A56" s="9">
        <v>40</v>
      </c>
      <c r="B56" s="7" t="s">
        <v>64</v>
      </c>
      <c r="C56" s="4"/>
      <c r="D56" s="4">
        <v>17500</v>
      </c>
      <c r="E56" s="15">
        <f t="shared" si="0"/>
        <v>17500</v>
      </c>
    </row>
    <row r="57" spans="1:5" ht="24">
      <c r="A57" s="9">
        <v>41</v>
      </c>
      <c r="B57" s="7" t="s">
        <v>65</v>
      </c>
      <c r="C57" s="4">
        <v>418780.07</v>
      </c>
      <c r="D57" s="4">
        <v>65788.82</v>
      </c>
      <c r="E57" s="15">
        <f t="shared" si="0"/>
        <v>484568.89</v>
      </c>
    </row>
    <row r="58" spans="1:5" ht="24">
      <c r="A58" s="9">
        <v>42</v>
      </c>
      <c r="B58" s="7" t="s">
        <v>66</v>
      </c>
      <c r="C58" s="4">
        <v>353025.67</v>
      </c>
      <c r="D58" s="4">
        <v>122500</v>
      </c>
      <c r="E58" s="15">
        <f t="shared" si="0"/>
        <v>475525.67</v>
      </c>
    </row>
    <row r="59" spans="1:5" ht="24">
      <c r="A59" s="9">
        <v>43</v>
      </c>
      <c r="B59" s="7" t="s">
        <v>67</v>
      </c>
      <c r="C59" s="4">
        <v>529452.41</v>
      </c>
      <c r="D59" s="4">
        <v>140816.08</v>
      </c>
      <c r="E59" s="15">
        <f t="shared" si="0"/>
        <v>670268.49</v>
      </c>
    </row>
    <row r="60" spans="1:5" ht="24">
      <c r="A60" s="9">
        <v>44</v>
      </c>
      <c r="B60" s="7" t="s">
        <v>68</v>
      </c>
      <c r="C60" s="4">
        <v>505037.92</v>
      </c>
      <c r="D60" s="4">
        <v>153900</v>
      </c>
      <c r="E60" s="15">
        <f t="shared" si="0"/>
        <v>658937.9199999999</v>
      </c>
    </row>
    <row r="61" spans="1:5" ht="12">
      <c r="A61" s="9"/>
      <c r="B61" s="7"/>
      <c r="C61" s="4"/>
      <c r="D61" s="4"/>
      <c r="E61" s="16"/>
    </row>
    <row r="62" spans="1:5" ht="24">
      <c r="A62" s="9"/>
      <c r="B62" s="8" t="s">
        <v>70</v>
      </c>
      <c r="C62" s="4"/>
      <c r="D62" s="4"/>
      <c r="E62" s="16"/>
    </row>
    <row r="63" spans="1:5" ht="24">
      <c r="A63" s="9">
        <v>1</v>
      </c>
      <c r="B63" s="7" t="s">
        <v>71</v>
      </c>
      <c r="C63" s="4"/>
      <c r="D63" s="4"/>
      <c r="E63" s="15">
        <f aca="true" t="shared" si="1" ref="E63:E70">C63+D63</f>
        <v>0</v>
      </c>
    </row>
    <row r="64" spans="1:5" ht="24">
      <c r="A64" s="9">
        <v>2</v>
      </c>
      <c r="B64" s="7" t="s">
        <v>72</v>
      </c>
      <c r="C64" s="4"/>
      <c r="D64" s="4">
        <v>50000</v>
      </c>
      <c r="E64" s="15">
        <f t="shared" si="1"/>
        <v>50000</v>
      </c>
    </row>
    <row r="65" spans="1:5" ht="24">
      <c r="A65" s="9">
        <v>3</v>
      </c>
      <c r="B65" s="7" t="s">
        <v>73</v>
      </c>
      <c r="C65" s="4">
        <v>4770</v>
      </c>
      <c r="D65" s="4">
        <v>20000</v>
      </c>
      <c r="E65" s="15">
        <f t="shared" si="1"/>
        <v>24770</v>
      </c>
    </row>
    <row r="66" spans="1:5" ht="24">
      <c r="A66" s="9">
        <v>4</v>
      </c>
      <c r="B66" s="7" t="s">
        <v>74</v>
      </c>
      <c r="C66" s="4">
        <v>215384.14</v>
      </c>
      <c r="D66" s="4">
        <v>2000</v>
      </c>
      <c r="E66" s="15">
        <f t="shared" si="1"/>
        <v>217384.14</v>
      </c>
    </row>
    <row r="67" spans="1:5" ht="24">
      <c r="A67" s="9">
        <v>5</v>
      </c>
      <c r="B67" s="7" t="s">
        <v>75</v>
      </c>
      <c r="C67" s="4">
        <v>286129.63</v>
      </c>
      <c r="D67" s="4">
        <v>17000</v>
      </c>
      <c r="E67" s="15">
        <f t="shared" si="1"/>
        <v>303129.63</v>
      </c>
    </row>
    <row r="68" spans="1:5" ht="24">
      <c r="A68" s="9">
        <v>6</v>
      </c>
      <c r="B68" s="7" t="s">
        <v>76</v>
      </c>
      <c r="C68" s="4"/>
      <c r="D68" s="4">
        <v>10600</v>
      </c>
      <c r="E68" s="15">
        <f t="shared" si="1"/>
        <v>10600</v>
      </c>
    </row>
    <row r="69" spans="1:5" ht="26.25" customHeight="1">
      <c r="A69" s="9">
        <v>7</v>
      </c>
      <c r="B69" s="7" t="s">
        <v>77</v>
      </c>
      <c r="C69" s="4">
        <v>212427.69</v>
      </c>
      <c r="D69" s="4">
        <v>28400</v>
      </c>
      <c r="E69" s="15">
        <f t="shared" si="1"/>
        <v>240827.69</v>
      </c>
    </row>
    <row r="70" spans="1:5" ht="24">
      <c r="A70" s="9">
        <v>8</v>
      </c>
      <c r="B70" s="7" t="s">
        <v>78</v>
      </c>
      <c r="C70" s="4">
        <v>72597.24</v>
      </c>
      <c r="D70" s="4">
        <v>3700</v>
      </c>
      <c r="E70" s="15">
        <f t="shared" si="1"/>
        <v>76297.24</v>
      </c>
    </row>
    <row r="71" spans="1:5" ht="12">
      <c r="A71" s="9"/>
      <c r="B71" s="7"/>
      <c r="C71" s="4"/>
      <c r="D71" s="4"/>
      <c r="E71" s="15"/>
    </row>
    <row r="72" spans="1:5" ht="12">
      <c r="A72" s="9"/>
      <c r="B72" s="8" t="s">
        <v>149</v>
      </c>
      <c r="C72" s="4"/>
      <c r="D72" s="4"/>
      <c r="E72" s="15"/>
    </row>
    <row r="73" spans="1:5" ht="12">
      <c r="A73" s="9"/>
      <c r="B73" s="7"/>
      <c r="C73" s="4"/>
      <c r="D73" s="4"/>
      <c r="E73" s="15"/>
    </row>
    <row r="74" spans="1:5" ht="12">
      <c r="A74" s="9" t="s">
        <v>150</v>
      </c>
      <c r="B74" s="8" t="s">
        <v>151</v>
      </c>
      <c r="C74" s="4"/>
      <c r="D74" s="4">
        <v>20200</v>
      </c>
      <c r="E74" s="15">
        <f>C74+D74</f>
        <v>20200</v>
      </c>
    </row>
    <row r="75" spans="1:5" ht="12">
      <c r="A75" s="9"/>
      <c r="B75" s="8"/>
      <c r="C75" s="4"/>
      <c r="D75" s="4"/>
      <c r="E75" s="16"/>
    </row>
    <row r="76" spans="1:5" ht="12">
      <c r="A76" s="9"/>
      <c r="B76" s="8" t="s">
        <v>79</v>
      </c>
      <c r="C76" s="4"/>
      <c r="D76" s="4"/>
      <c r="E76" s="16"/>
    </row>
    <row r="77" spans="1:5" ht="24">
      <c r="A77" s="9">
        <v>1</v>
      </c>
      <c r="B77" s="7" t="s">
        <v>80</v>
      </c>
      <c r="C77" s="4">
        <v>421823.43</v>
      </c>
      <c r="D77" s="4">
        <v>248300</v>
      </c>
      <c r="E77" s="15">
        <f aca="true" t="shared" si="2" ref="E77:E138">C77+D77</f>
        <v>670123.4299999999</v>
      </c>
    </row>
    <row r="78" spans="1:5" ht="24">
      <c r="A78" s="9">
        <v>2</v>
      </c>
      <c r="B78" s="7" t="s">
        <v>81</v>
      </c>
      <c r="C78" s="4">
        <v>259222.18</v>
      </c>
      <c r="D78" s="4">
        <v>72400</v>
      </c>
      <c r="E78" s="15">
        <f t="shared" si="2"/>
        <v>331622.18</v>
      </c>
    </row>
    <row r="79" spans="1:5" ht="24">
      <c r="A79" s="9">
        <v>3</v>
      </c>
      <c r="B79" s="7" t="s">
        <v>82</v>
      </c>
      <c r="C79" s="4">
        <v>389200.03</v>
      </c>
      <c r="D79" s="4">
        <v>219900</v>
      </c>
      <c r="E79" s="15">
        <f t="shared" si="2"/>
        <v>609100.03</v>
      </c>
    </row>
    <row r="80" spans="1:5" ht="24">
      <c r="A80" s="9">
        <v>4</v>
      </c>
      <c r="B80" s="7" t="s">
        <v>83</v>
      </c>
      <c r="C80" s="4">
        <v>282149.75</v>
      </c>
      <c r="D80" s="4">
        <v>233600</v>
      </c>
      <c r="E80" s="15">
        <f t="shared" si="2"/>
        <v>515749.75</v>
      </c>
    </row>
    <row r="81" spans="1:5" ht="24">
      <c r="A81" s="9">
        <v>5</v>
      </c>
      <c r="B81" s="7" t="s">
        <v>84</v>
      </c>
      <c r="C81" s="4">
        <v>331839.31</v>
      </c>
      <c r="D81" s="4">
        <v>59255.28</v>
      </c>
      <c r="E81" s="15">
        <f t="shared" si="2"/>
        <v>391094.58999999997</v>
      </c>
    </row>
    <row r="82" spans="1:5" ht="24">
      <c r="A82" s="9">
        <v>6</v>
      </c>
      <c r="B82" s="7" t="s">
        <v>85</v>
      </c>
      <c r="C82" s="4">
        <v>569740.88</v>
      </c>
      <c r="D82" s="4">
        <v>446600</v>
      </c>
      <c r="E82" s="15">
        <f t="shared" si="2"/>
        <v>1016340.88</v>
      </c>
    </row>
    <row r="83" spans="1:5" ht="24">
      <c r="A83" s="9">
        <v>7</v>
      </c>
      <c r="B83" s="7" t="s">
        <v>86</v>
      </c>
      <c r="C83" s="4">
        <v>407720.07</v>
      </c>
      <c r="D83" s="4">
        <v>93100</v>
      </c>
      <c r="E83" s="15">
        <f t="shared" si="2"/>
        <v>500820.07</v>
      </c>
    </row>
    <row r="84" spans="1:5" ht="24">
      <c r="A84" s="9">
        <v>8</v>
      </c>
      <c r="B84" s="7" t="s">
        <v>87</v>
      </c>
      <c r="C84" s="4">
        <v>411403.46</v>
      </c>
      <c r="D84" s="4">
        <v>22800</v>
      </c>
      <c r="E84" s="15">
        <f t="shared" si="2"/>
        <v>434203.46</v>
      </c>
    </row>
    <row r="85" spans="1:5" ht="24">
      <c r="A85" s="9">
        <v>9</v>
      </c>
      <c r="B85" s="7" t="s">
        <v>88</v>
      </c>
      <c r="C85" s="4">
        <v>217060.08</v>
      </c>
      <c r="D85" s="4">
        <v>11700</v>
      </c>
      <c r="E85" s="15">
        <f t="shared" si="2"/>
        <v>228760.08</v>
      </c>
    </row>
    <row r="86" spans="1:5" ht="24">
      <c r="A86" s="9">
        <v>10</v>
      </c>
      <c r="B86" s="7" t="s">
        <v>89</v>
      </c>
      <c r="C86" s="4">
        <v>526090.53</v>
      </c>
      <c r="D86" s="4">
        <v>131000</v>
      </c>
      <c r="E86" s="15">
        <f t="shared" si="2"/>
        <v>657090.53</v>
      </c>
    </row>
    <row r="87" spans="1:5" ht="24">
      <c r="A87" s="9">
        <v>11</v>
      </c>
      <c r="B87" s="7" t="s">
        <v>90</v>
      </c>
      <c r="C87" s="4">
        <v>171988.23</v>
      </c>
      <c r="D87" s="4">
        <v>88000</v>
      </c>
      <c r="E87" s="15">
        <f t="shared" si="2"/>
        <v>259988.23</v>
      </c>
    </row>
    <row r="88" spans="1:5" ht="24">
      <c r="A88" s="9">
        <v>12</v>
      </c>
      <c r="B88" s="7" t="s">
        <v>91</v>
      </c>
      <c r="C88" s="4">
        <v>263078.54</v>
      </c>
      <c r="D88" s="4">
        <v>9600</v>
      </c>
      <c r="E88" s="15">
        <f t="shared" si="2"/>
        <v>272678.54</v>
      </c>
    </row>
    <row r="89" spans="1:5" ht="24">
      <c r="A89" s="9">
        <v>13</v>
      </c>
      <c r="B89" s="7" t="s">
        <v>92</v>
      </c>
      <c r="C89" s="4">
        <v>722920</v>
      </c>
      <c r="D89" s="4">
        <v>226800</v>
      </c>
      <c r="E89" s="15">
        <f t="shared" si="2"/>
        <v>949720</v>
      </c>
    </row>
    <row r="90" spans="1:5" ht="24">
      <c r="A90" s="9">
        <v>14</v>
      </c>
      <c r="B90" s="7" t="s">
        <v>93</v>
      </c>
      <c r="C90" s="4">
        <v>238359.08</v>
      </c>
      <c r="D90" s="4">
        <v>37000</v>
      </c>
      <c r="E90" s="15">
        <f t="shared" si="2"/>
        <v>275359.07999999996</v>
      </c>
    </row>
    <row r="91" spans="1:5" ht="24">
      <c r="A91" s="9">
        <v>15</v>
      </c>
      <c r="B91" s="7" t="s">
        <v>94</v>
      </c>
      <c r="C91" s="4">
        <v>568770</v>
      </c>
      <c r="D91" s="4">
        <v>32100</v>
      </c>
      <c r="E91" s="15">
        <f t="shared" si="2"/>
        <v>600870</v>
      </c>
    </row>
    <row r="92" spans="1:5" ht="24">
      <c r="A92" s="9">
        <v>16</v>
      </c>
      <c r="B92" s="7" t="s">
        <v>95</v>
      </c>
      <c r="C92" s="4">
        <v>464501.91</v>
      </c>
      <c r="D92" s="4">
        <v>159300</v>
      </c>
      <c r="E92" s="15">
        <f t="shared" si="2"/>
        <v>623801.9099999999</v>
      </c>
    </row>
    <row r="93" spans="1:5" ht="24">
      <c r="A93" s="9">
        <v>17</v>
      </c>
      <c r="B93" s="7" t="s">
        <v>96</v>
      </c>
      <c r="C93" s="4">
        <v>123631.18</v>
      </c>
      <c r="D93" s="4">
        <v>39800</v>
      </c>
      <c r="E93" s="15">
        <f t="shared" si="2"/>
        <v>163431.18</v>
      </c>
    </row>
    <row r="94" spans="1:5" ht="24">
      <c r="A94" s="9">
        <v>18</v>
      </c>
      <c r="B94" s="7" t="s">
        <v>97</v>
      </c>
      <c r="C94" s="4">
        <v>246159.33</v>
      </c>
      <c r="D94" s="4">
        <v>13500</v>
      </c>
      <c r="E94" s="15">
        <f t="shared" si="2"/>
        <v>259659.33</v>
      </c>
    </row>
    <row r="95" spans="1:5" ht="24">
      <c r="A95" s="9">
        <v>19</v>
      </c>
      <c r="B95" s="7" t="s">
        <v>98</v>
      </c>
      <c r="C95" s="4">
        <v>211998.67</v>
      </c>
      <c r="D95" s="4">
        <v>60300</v>
      </c>
      <c r="E95" s="15">
        <f t="shared" si="2"/>
        <v>272298.67000000004</v>
      </c>
    </row>
    <row r="96" spans="1:5" ht="24">
      <c r="A96" s="9">
        <v>20</v>
      </c>
      <c r="B96" s="7" t="s">
        <v>99</v>
      </c>
      <c r="C96" s="4">
        <v>215094.65</v>
      </c>
      <c r="D96" s="4">
        <v>12300</v>
      </c>
      <c r="E96" s="15">
        <f t="shared" si="2"/>
        <v>227394.65</v>
      </c>
    </row>
    <row r="97" spans="1:5" ht="24">
      <c r="A97" s="9">
        <v>21</v>
      </c>
      <c r="B97" s="7" t="s">
        <v>100</v>
      </c>
      <c r="C97" s="4">
        <v>335031.2</v>
      </c>
      <c r="D97" s="4">
        <v>17900</v>
      </c>
      <c r="E97" s="15">
        <f t="shared" si="2"/>
        <v>352931.2</v>
      </c>
    </row>
    <row r="98" spans="1:5" ht="24">
      <c r="A98" s="9">
        <v>22</v>
      </c>
      <c r="B98" s="7" t="s">
        <v>101</v>
      </c>
      <c r="C98" s="4">
        <v>398910.06</v>
      </c>
      <c r="D98" s="4">
        <v>84000</v>
      </c>
      <c r="E98" s="15">
        <f t="shared" si="2"/>
        <v>482910.06</v>
      </c>
    </row>
    <row r="99" spans="1:5" ht="24">
      <c r="A99" s="9">
        <v>23</v>
      </c>
      <c r="B99" s="7" t="s">
        <v>102</v>
      </c>
      <c r="C99" s="4">
        <v>190627.74</v>
      </c>
      <c r="D99" s="4">
        <v>12000</v>
      </c>
      <c r="E99" s="15">
        <f t="shared" si="2"/>
        <v>202627.74</v>
      </c>
    </row>
    <row r="100" spans="1:5" ht="24">
      <c r="A100" s="9">
        <v>24</v>
      </c>
      <c r="B100" s="7" t="s">
        <v>103</v>
      </c>
      <c r="C100" s="4">
        <v>560284</v>
      </c>
      <c r="D100" s="4">
        <v>55625.3</v>
      </c>
      <c r="E100" s="15">
        <f t="shared" si="2"/>
        <v>615909.3</v>
      </c>
    </row>
    <row r="101" spans="1:5" ht="24">
      <c r="A101" s="9">
        <v>25</v>
      </c>
      <c r="B101" s="7" t="s">
        <v>104</v>
      </c>
      <c r="C101" s="4">
        <v>378734.76</v>
      </c>
      <c r="D101" s="4">
        <v>76400</v>
      </c>
      <c r="E101" s="15">
        <f t="shared" si="2"/>
        <v>455134.76</v>
      </c>
    </row>
    <row r="102" spans="1:5" ht="24">
      <c r="A102" s="9">
        <v>26</v>
      </c>
      <c r="B102" s="7" t="s">
        <v>105</v>
      </c>
      <c r="C102" s="4">
        <v>164981.03</v>
      </c>
      <c r="D102" s="4">
        <v>14500</v>
      </c>
      <c r="E102" s="15">
        <f t="shared" si="2"/>
        <v>179481.03</v>
      </c>
    </row>
    <row r="103" spans="1:5" ht="24">
      <c r="A103" s="9">
        <v>27</v>
      </c>
      <c r="B103" s="7" t="s">
        <v>106</v>
      </c>
      <c r="C103" s="4">
        <v>300733.03</v>
      </c>
      <c r="D103" s="4">
        <v>18800</v>
      </c>
      <c r="E103" s="15">
        <f t="shared" si="2"/>
        <v>319533.03</v>
      </c>
    </row>
    <row r="104" spans="1:5" ht="24">
      <c r="A104" s="9">
        <v>28</v>
      </c>
      <c r="B104" s="7" t="s">
        <v>107</v>
      </c>
      <c r="C104" s="4">
        <v>198571.44</v>
      </c>
      <c r="D104" s="4">
        <v>66100</v>
      </c>
      <c r="E104" s="15">
        <f t="shared" si="2"/>
        <v>264671.44</v>
      </c>
    </row>
    <row r="105" spans="1:5" ht="24">
      <c r="A105" s="9">
        <v>29</v>
      </c>
      <c r="B105" s="7" t="s">
        <v>108</v>
      </c>
      <c r="C105" s="4">
        <v>315615.67</v>
      </c>
      <c r="D105" s="4">
        <v>176500</v>
      </c>
      <c r="E105" s="15">
        <f t="shared" si="2"/>
        <v>492115.67</v>
      </c>
    </row>
    <row r="106" spans="1:5" ht="24">
      <c r="A106" s="9">
        <v>30</v>
      </c>
      <c r="B106" s="7" t="s">
        <v>109</v>
      </c>
      <c r="C106" s="4">
        <v>523337.88</v>
      </c>
      <c r="D106" s="4">
        <v>148200</v>
      </c>
      <c r="E106" s="15">
        <f t="shared" si="2"/>
        <v>671537.88</v>
      </c>
    </row>
    <row r="107" spans="1:5" ht="24">
      <c r="A107" s="9">
        <v>31</v>
      </c>
      <c r="B107" s="7" t="s">
        <v>110</v>
      </c>
      <c r="C107" s="4">
        <v>361120</v>
      </c>
      <c r="D107" s="4">
        <v>20600</v>
      </c>
      <c r="E107" s="15">
        <f t="shared" si="2"/>
        <v>381720</v>
      </c>
    </row>
    <row r="108" spans="1:5" ht="24">
      <c r="A108" s="9">
        <v>32</v>
      </c>
      <c r="B108" s="7" t="s">
        <v>111</v>
      </c>
      <c r="C108" s="4">
        <v>410120.28</v>
      </c>
      <c r="D108" s="4">
        <v>57800</v>
      </c>
      <c r="E108" s="15">
        <f t="shared" si="2"/>
        <v>467920.28</v>
      </c>
    </row>
    <row r="109" spans="1:5" ht="24">
      <c r="A109" s="9">
        <v>33</v>
      </c>
      <c r="B109" s="7" t="s">
        <v>112</v>
      </c>
      <c r="C109" s="4">
        <v>439271.12</v>
      </c>
      <c r="D109" s="4">
        <v>92000</v>
      </c>
      <c r="E109" s="15">
        <f t="shared" si="2"/>
        <v>531271.12</v>
      </c>
    </row>
    <row r="110" spans="1:5" ht="24">
      <c r="A110" s="9">
        <v>34</v>
      </c>
      <c r="B110" s="7" t="s">
        <v>113</v>
      </c>
      <c r="C110" s="4">
        <v>207394.89</v>
      </c>
      <c r="D110" s="4">
        <v>22900</v>
      </c>
      <c r="E110" s="15">
        <f t="shared" si="2"/>
        <v>230294.89</v>
      </c>
    </row>
    <row r="111" spans="1:5" ht="24">
      <c r="A111" s="9">
        <v>35</v>
      </c>
      <c r="B111" s="7" t="s">
        <v>114</v>
      </c>
      <c r="C111" s="4">
        <v>471975.71</v>
      </c>
      <c r="D111" s="4">
        <v>230800</v>
      </c>
      <c r="E111" s="15">
        <f t="shared" si="2"/>
        <v>702775.71</v>
      </c>
    </row>
    <row r="112" spans="1:5" ht="24">
      <c r="A112" s="9">
        <v>36</v>
      </c>
      <c r="B112" s="7" t="s">
        <v>115</v>
      </c>
      <c r="C112" s="4">
        <v>584023.44</v>
      </c>
      <c r="D112" s="4">
        <v>219200</v>
      </c>
      <c r="E112" s="15">
        <f t="shared" si="2"/>
        <v>803223.44</v>
      </c>
    </row>
    <row r="113" spans="1:5" ht="24">
      <c r="A113" s="9">
        <v>37</v>
      </c>
      <c r="B113" s="7" t="s">
        <v>116</v>
      </c>
      <c r="C113" s="4">
        <v>195269.49</v>
      </c>
      <c r="D113" s="4">
        <v>10300</v>
      </c>
      <c r="E113" s="15">
        <f t="shared" si="2"/>
        <v>205569.49</v>
      </c>
    </row>
    <row r="114" spans="1:5" ht="24">
      <c r="A114" s="9">
        <v>38</v>
      </c>
      <c r="B114" s="7" t="s">
        <v>117</v>
      </c>
      <c r="C114" s="4">
        <v>339964.93</v>
      </c>
      <c r="D114" s="4">
        <v>20900</v>
      </c>
      <c r="E114" s="15">
        <f t="shared" si="2"/>
        <v>360864.93</v>
      </c>
    </row>
    <row r="115" spans="1:5" ht="24">
      <c r="A115" s="9">
        <v>39</v>
      </c>
      <c r="B115" s="7" t="s">
        <v>118</v>
      </c>
      <c r="C115" s="4">
        <v>341865.46</v>
      </c>
      <c r="D115" s="4">
        <v>61700</v>
      </c>
      <c r="E115" s="15">
        <f t="shared" si="2"/>
        <v>403565.46</v>
      </c>
    </row>
    <row r="116" spans="1:5" ht="24">
      <c r="A116" s="9">
        <v>40</v>
      </c>
      <c r="B116" s="7" t="s">
        <v>119</v>
      </c>
      <c r="C116" s="4">
        <v>221162.92</v>
      </c>
      <c r="D116" s="4">
        <v>11300</v>
      </c>
      <c r="E116" s="15">
        <f t="shared" si="2"/>
        <v>232462.92</v>
      </c>
    </row>
    <row r="117" spans="1:5" ht="24">
      <c r="A117" s="9">
        <v>41</v>
      </c>
      <c r="B117" s="7" t="s">
        <v>120</v>
      </c>
      <c r="C117" s="4">
        <v>303200.32</v>
      </c>
      <c r="D117" s="4">
        <v>117400</v>
      </c>
      <c r="E117" s="15">
        <f t="shared" si="2"/>
        <v>420600.32</v>
      </c>
    </row>
    <row r="118" spans="1:5" ht="24">
      <c r="A118" s="9">
        <v>42</v>
      </c>
      <c r="B118" s="7" t="s">
        <v>121</v>
      </c>
      <c r="C118" s="4">
        <v>67127.64</v>
      </c>
      <c r="D118" s="4">
        <v>100</v>
      </c>
      <c r="E118" s="15">
        <f t="shared" si="2"/>
        <v>67227.64</v>
      </c>
    </row>
    <row r="119" spans="1:5" ht="24">
      <c r="A119" s="9">
        <v>43</v>
      </c>
      <c r="B119" s="7" t="s">
        <v>122</v>
      </c>
      <c r="C119" s="4">
        <v>199514.1</v>
      </c>
      <c r="D119" s="4">
        <v>94500</v>
      </c>
      <c r="E119" s="15">
        <f t="shared" si="2"/>
        <v>294014.1</v>
      </c>
    </row>
    <row r="120" spans="1:5" ht="24">
      <c r="A120" s="9">
        <v>44</v>
      </c>
      <c r="B120" s="7" t="s">
        <v>123</v>
      </c>
      <c r="C120" s="4">
        <v>117067.34</v>
      </c>
      <c r="D120" s="4">
        <v>90700</v>
      </c>
      <c r="E120" s="15">
        <f t="shared" si="2"/>
        <v>207767.34</v>
      </c>
    </row>
    <row r="121" spans="1:5" ht="24">
      <c r="A121" s="9">
        <v>45</v>
      </c>
      <c r="B121" s="7" t="s">
        <v>124</v>
      </c>
      <c r="C121" s="4">
        <v>305829.7</v>
      </c>
      <c r="D121" s="4">
        <v>4900</v>
      </c>
      <c r="E121" s="15">
        <f t="shared" si="2"/>
        <v>310729.7</v>
      </c>
    </row>
    <row r="122" spans="1:5" ht="24">
      <c r="A122" s="9">
        <v>46</v>
      </c>
      <c r="B122" s="7" t="s">
        <v>125</v>
      </c>
      <c r="C122" s="4">
        <v>242408.73</v>
      </c>
      <c r="D122" s="4">
        <v>10200</v>
      </c>
      <c r="E122" s="15">
        <f t="shared" si="2"/>
        <v>252608.73</v>
      </c>
    </row>
    <row r="123" spans="1:5" ht="24">
      <c r="A123" s="9">
        <v>47</v>
      </c>
      <c r="B123" s="7" t="s">
        <v>126</v>
      </c>
      <c r="C123" s="4">
        <v>103241.54</v>
      </c>
      <c r="D123" s="4"/>
      <c r="E123" s="15">
        <f t="shared" si="2"/>
        <v>103241.54</v>
      </c>
    </row>
    <row r="124" spans="1:5" ht="24">
      <c r="A124" s="9">
        <v>48</v>
      </c>
      <c r="B124" s="7" t="s">
        <v>127</v>
      </c>
      <c r="C124" s="4">
        <v>754110.65</v>
      </c>
      <c r="D124" s="4">
        <v>29900</v>
      </c>
      <c r="E124" s="15">
        <f t="shared" si="2"/>
        <v>784010.65</v>
      </c>
    </row>
    <row r="125" spans="1:5" ht="24">
      <c r="A125" s="9">
        <v>49</v>
      </c>
      <c r="B125" s="7" t="s">
        <v>128</v>
      </c>
      <c r="C125" s="4">
        <v>613085.17</v>
      </c>
      <c r="D125" s="4">
        <v>141100</v>
      </c>
      <c r="E125" s="15">
        <f t="shared" si="2"/>
        <v>754185.17</v>
      </c>
    </row>
    <row r="126" spans="1:5" ht="24">
      <c r="A126" s="9">
        <v>50</v>
      </c>
      <c r="B126" s="7" t="s">
        <v>129</v>
      </c>
      <c r="C126" s="4">
        <v>282610.35</v>
      </c>
      <c r="D126" s="4">
        <v>900</v>
      </c>
      <c r="E126" s="15">
        <f t="shared" si="2"/>
        <v>283510.35</v>
      </c>
    </row>
    <row r="127" spans="1:5" ht="24">
      <c r="A127" s="9">
        <v>51</v>
      </c>
      <c r="B127" s="7" t="s">
        <v>130</v>
      </c>
      <c r="C127" s="4">
        <v>475316</v>
      </c>
      <c r="D127" s="4">
        <v>100000</v>
      </c>
      <c r="E127" s="15">
        <f t="shared" si="2"/>
        <v>575316</v>
      </c>
    </row>
    <row r="128" spans="1:5" ht="24">
      <c r="A128" s="9">
        <v>52</v>
      </c>
      <c r="B128" s="7" t="s">
        <v>131</v>
      </c>
      <c r="C128" s="4">
        <v>363767.62</v>
      </c>
      <c r="D128" s="4">
        <v>2100</v>
      </c>
      <c r="E128" s="15">
        <f t="shared" si="2"/>
        <v>365867.62</v>
      </c>
    </row>
    <row r="129" spans="1:5" ht="24">
      <c r="A129" s="9">
        <v>53</v>
      </c>
      <c r="B129" s="7" t="s">
        <v>132</v>
      </c>
      <c r="C129" s="4">
        <v>740267.94</v>
      </c>
      <c r="D129" s="4">
        <v>83100</v>
      </c>
      <c r="E129" s="15">
        <f t="shared" si="2"/>
        <v>823367.94</v>
      </c>
    </row>
    <row r="130" spans="1:5" ht="24">
      <c r="A130" s="9">
        <v>54</v>
      </c>
      <c r="B130" s="7" t="s">
        <v>133</v>
      </c>
      <c r="C130" s="4">
        <v>392128.51</v>
      </c>
      <c r="D130" s="4">
        <v>16400</v>
      </c>
      <c r="E130" s="15">
        <f t="shared" si="2"/>
        <v>408528.51</v>
      </c>
    </row>
    <row r="131" spans="1:5" ht="24">
      <c r="A131" s="9">
        <v>55</v>
      </c>
      <c r="B131" s="7" t="s">
        <v>134</v>
      </c>
      <c r="C131" s="4">
        <v>664234.65</v>
      </c>
      <c r="D131" s="4">
        <v>46200</v>
      </c>
      <c r="E131" s="15">
        <f t="shared" si="2"/>
        <v>710434.65</v>
      </c>
    </row>
    <row r="132" spans="1:5" ht="24">
      <c r="A132" s="9">
        <v>56</v>
      </c>
      <c r="B132" s="7" t="s">
        <v>135</v>
      </c>
      <c r="C132" s="4">
        <v>727684.67</v>
      </c>
      <c r="D132" s="4">
        <v>3800</v>
      </c>
      <c r="E132" s="15">
        <f t="shared" si="2"/>
        <v>731484.67</v>
      </c>
    </row>
    <row r="133" spans="1:5" ht="24">
      <c r="A133" s="9">
        <v>57</v>
      </c>
      <c r="B133" s="7" t="s">
        <v>136</v>
      </c>
      <c r="C133" s="4">
        <v>253151.41</v>
      </c>
      <c r="D133" s="4">
        <v>68500</v>
      </c>
      <c r="E133" s="15">
        <f t="shared" si="2"/>
        <v>321651.41000000003</v>
      </c>
    </row>
    <row r="134" spans="1:5" ht="24">
      <c r="A134" s="9">
        <v>58</v>
      </c>
      <c r="B134" s="7" t="s">
        <v>137</v>
      </c>
      <c r="C134" s="4">
        <v>446633.28</v>
      </c>
      <c r="D134" s="4">
        <v>800</v>
      </c>
      <c r="E134" s="15">
        <f t="shared" si="2"/>
        <v>447433.28</v>
      </c>
    </row>
    <row r="135" spans="1:5" ht="24">
      <c r="A135" s="9">
        <v>59</v>
      </c>
      <c r="B135" s="7" t="s">
        <v>138</v>
      </c>
      <c r="C135" s="4">
        <v>270018.46</v>
      </c>
      <c r="D135" s="4">
        <v>226800</v>
      </c>
      <c r="E135" s="15">
        <f t="shared" si="2"/>
        <v>496818.46</v>
      </c>
    </row>
    <row r="136" spans="1:5" ht="24">
      <c r="A136" s="9">
        <v>60</v>
      </c>
      <c r="B136" s="7" t="s">
        <v>139</v>
      </c>
      <c r="C136" s="4">
        <v>229577.27</v>
      </c>
      <c r="D136" s="4">
        <v>300</v>
      </c>
      <c r="E136" s="15">
        <f t="shared" si="2"/>
        <v>229877.27</v>
      </c>
    </row>
    <row r="137" spans="1:5" ht="24">
      <c r="A137" s="9">
        <v>61</v>
      </c>
      <c r="B137" s="7" t="s">
        <v>140</v>
      </c>
      <c r="C137" s="4">
        <v>281363.7</v>
      </c>
      <c r="D137" s="4">
        <v>1000</v>
      </c>
      <c r="E137" s="15">
        <f t="shared" si="2"/>
        <v>282363.7</v>
      </c>
    </row>
    <row r="138" spans="1:5" ht="24">
      <c r="A138" s="9">
        <v>62</v>
      </c>
      <c r="B138" s="7" t="s">
        <v>141</v>
      </c>
      <c r="C138" s="4">
        <v>45990</v>
      </c>
      <c r="D138" s="4">
        <v>800</v>
      </c>
      <c r="E138" s="15">
        <f t="shared" si="2"/>
        <v>46790</v>
      </c>
    </row>
    <row r="139" spans="1:5" ht="24">
      <c r="A139" s="9">
        <v>63</v>
      </c>
      <c r="B139" s="7" t="s">
        <v>142</v>
      </c>
      <c r="C139" s="4">
        <v>193734.94</v>
      </c>
      <c r="D139" s="4">
        <v>20281.94</v>
      </c>
      <c r="E139" s="15">
        <f>C139+D139</f>
        <v>214016.88</v>
      </c>
    </row>
    <row r="140" spans="1:5" ht="24">
      <c r="A140" s="9">
        <v>64</v>
      </c>
      <c r="B140" s="7" t="s">
        <v>143</v>
      </c>
      <c r="C140" s="4">
        <v>323590.15</v>
      </c>
      <c r="D140" s="4">
        <v>18318.61</v>
      </c>
      <c r="E140" s="15">
        <f>C140+D140</f>
        <v>341908.76</v>
      </c>
    </row>
    <row r="141" spans="1:5" ht="24">
      <c r="A141" s="9">
        <v>65</v>
      </c>
      <c r="B141" s="7" t="s">
        <v>144</v>
      </c>
      <c r="C141" s="4">
        <v>60259.46</v>
      </c>
      <c r="D141" s="4">
        <v>100</v>
      </c>
      <c r="E141" s="15">
        <f>C141+D141</f>
        <v>60359.46</v>
      </c>
    </row>
    <row r="142" spans="1:5" ht="24">
      <c r="A142" s="9">
        <v>66</v>
      </c>
      <c r="B142" s="7" t="s">
        <v>145</v>
      </c>
      <c r="C142" s="4">
        <v>607797.42</v>
      </c>
      <c r="D142" s="4">
        <v>34500</v>
      </c>
      <c r="E142" s="15">
        <f>C142+D142</f>
        <v>642297.42</v>
      </c>
    </row>
    <row r="143" spans="1:5" ht="24">
      <c r="A143" s="9">
        <v>67</v>
      </c>
      <c r="B143" s="7" t="s">
        <v>146</v>
      </c>
      <c r="C143" s="4">
        <v>218201.94</v>
      </c>
      <c r="D143" s="4">
        <v>1100</v>
      </c>
      <c r="E143" s="15">
        <f>C143+D143</f>
        <v>219301.94</v>
      </c>
    </row>
    <row r="144" ht="12">
      <c r="E144" s="28">
        <f>SUM(E17:E143)</f>
        <v>79367845.04</v>
      </c>
    </row>
    <row r="146" spans="1:7" ht="12.75">
      <c r="A146" s="47" t="s">
        <v>153</v>
      </c>
      <c r="B146" s="47"/>
      <c r="C146" s="47"/>
      <c r="D146" s="47"/>
      <c r="E146" s="47"/>
      <c r="F146" s="47"/>
      <c r="G146" s="47"/>
    </row>
    <row r="147" spans="1:5" ht="12">
      <c r="A147" s="50"/>
      <c r="B147" s="50"/>
      <c r="C147" s="50"/>
      <c r="D147" s="50"/>
      <c r="E147" s="50"/>
    </row>
  </sheetData>
  <sheetProtection/>
  <mergeCells count="11">
    <mergeCell ref="A146:G146"/>
    <mergeCell ref="A14:A15"/>
    <mergeCell ref="B14:B15"/>
    <mergeCell ref="A147:E147"/>
    <mergeCell ref="B16:E16"/>
    <mergeCell ref="C14:E14"/>
    <mergeCell ref="A12:E12"/>
    <mergeCell ref="A8:E8"/>
    <mergeCell ref="A9:E9"/>
    <mergeCell ref="A10:E10"/>
    <mergeCell ref="A11:E11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Леонов</cp:lastModifiedBy>
  <cp:lastPrinted>2012-08-28T10:25:51Z</cp:lastPrinted>
  <dcterms:created xsi:type="dcterms:W3CDTF">2012-07-02T11:45:50Z</dcterms:created>
  <dcterms:modified xsi:type="dcterms:W3CDTF">2012-09-03T08:32:22Z</dcterms:modified>
  <cp:category/>
  <cp:version/>
  <cp:contentType/>
  <cp:contentStatus/>
</cp:coreProperties>
</file>