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0"/>
  </bookViews>
  <sheets>
    <sheet name="Лист1" sheetId="1" r:id="rId1"/>
    <sheet name="Лист1 (2)" sheetId="2" r:id="rId2"/>
  </sheets>
  <definedNames>
    <definedName name="_xlnm.Print_Titles" localSheetId="0">'Лист1'!$13:$14</definedName>
    <definedName name="_xlnm.Print_Titles" localSheetId="1">'Лист1 (2)'!$14:$15</definedName>
    <definedName name="_xlnm.Print_Area" localSheetId="0">'Лист1'!$A$1:$N$426</definedName>
    <definedName name="_xlnm.Print_Area" localSheetId="1">'Лист1 (2)'!$A$1:$E$150</definedName>
  </definedNames>
  <calcPr fullCalcOnLoad="1" refMode="R1C1"/>
</workbook>
</file>

<file path=xl/sharedStrings.xml><?xml version="1.0" encoding="utf-8"?>
<sst xmlns="http://schemas.openxmlformats.org/spreadsheetml/2006/main" count="578" uniqueCount="299">
  <si>
    <t xml:space="preserve">Сергиево-Посадского </t>
  </si>
  <si>
    <t>муниципального района</t>
  </si>
  <si>
    <t>НОРМАТИВНЫЕ ЗАТРАТЫ</t>
  </si>
  <si>
    <t>НА ОКАЗАНИЕ МУНИЦИПАЛЬНЫХ УСЛУГ ФИЗИЧЕСКИМ И ЮРИДИЧЕСКИМ ЛИЦАМ</t>
  </si>
  <si>
    <t>№ п/п</t>
  </si>
  <si>
    <t>Наименование муниципальной услуги</t>
  </si>
  <si>
    <t>Нормативные затраты на единицу муниципальной услуги</t>
  </si>
  <si>
    <t>средства бюджета района</t>
  </si>
  <si>
    <t>НА СОДЕРЖАНИЕ ИМУЩЕСТВА, ВКЛЮЧАЕМЫЕ В ФИНАНСОВОЕ ОБЕСПЕЧЕНИЕ МУНИЦИПАЛЬНОГО ЗАДАНИЯ</t>
  </si>
  <si>
    <t>Наименование муниципальной услуги / источника финансирования / муниципального учреждения</t>
  </si>
  <si>
    <r>
      <rPr>
        <b/>
        <sz val="9"/>
        <rFont val="Arial"/>
        <family val="2"/>
      </rPr>
      <t>МБОУ "СОШ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</si>
  <si>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"ФМЛ"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</si>
  <si>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"СОШ № 4"</t>
    </r>
    <r>
      <rPr>
        <sz val="9"/>
        <rFont val="Arial"/>
        <family val="0"/>
      </rPr>
      <t xml:space="preserve"> всего, в том числе</t>
    </r>
  </si>
  <si>
    <r>
      <rPr>
        <b/>
        <sz val="9"/>
        <rFont val="Arial"/>
        <family val="2"/>
      </rPr>
      <t>МБОУ "Гимназия № 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</si>
  <si>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"СОШ № 6"</t>
    </r>
    <r>
      <rPr>
        <sz val="9"/>
        <rFont val="Arial"/>
        <family val="0"/>
      </rPr>
      <t xml:space="preserve"> всего, в том числе</t>
    </r>
  </si>
  <si>
    <r>
      <rPr>
        <b/>
        <sz val="9"/>
        <rFont val="Arial"/>
        <family val="2"/>
      </rPr>
      <t>МБОУ  "СОШ (коррекционная) № 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</si>
  <si>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</si>
  <si>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"НОШ  № 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</si>
  <si>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</si>
  <si>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</si>
  <si>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"НОШ  № 13"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</si>
  <si>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</si>
  <si>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</si>
  <si>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</si>
  <si>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</si>
  <si>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</si>
  <si>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</si>
  <si>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</si>
  <si>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</si>
  <si>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</si>
  <si>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"Лицей № 24"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</si>
  <si>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</si>
  <si>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</si>
  <si>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</si>
  <si>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</si>
  <si>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"НОШ  № 29"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</si>
  <si>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"Краснозаводская СОШ 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</si>
  <si>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"Краснозаводская СОШ  № 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</si>
  <si>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5 г. Пересвет"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</si>
  <si>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8 г. Пересвет"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</si>
  <si>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СОШ 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</si>
  <si>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НОШ  № 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</si>
  <si>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ООШ  № 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</si>
  <si>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СОШ  № 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</si>
  <si>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"Бужаниновская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</si>
  <si>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"Васильевская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</si>
  <si>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"Загорские дали"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</si>
  <si>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"Торгашинская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</si>
  <si>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"Шеметовская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</si>
  <si>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</si>
  <si>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</si>
  <si>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</si>
  <si>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7"</t>
    </r>
    <r>
      <rPr>
        <sz val="9"/>
        <rFont val="Arial"/>
        <family val="2"/>
      </rPr>
      <t xml:space="preserve"> всего, в том числе</t>
    </r>
  </si>
  <si>
    <t>ОУ</t>
  </si>
  <si>
    <r>
      <rPr>
        <b/>
        <sz val="9"/>
        <rFont val="Arial"/>
        <family val="2"/>
      </rPr>
      <t>МБОУДОД  ДЮСШ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</si>
  <si>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 "Кругозор"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</si>
  <si>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 "Истоки"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</si>
  <si>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ЦДТ г. Краснозаводск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</si>
  <si>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"Гармония"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</si>
  <si>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"Кристалл"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</si>
  <si>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"Юность"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</si>
  <si>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"Спутник"</t>
    </r>
    <r>
      <rPr>
        <sz val="9"/>
        <rFont val="Arial"/>
        <family val="2"/>
      </rPr>
      <t xml:space="preserve"> всего, в том числе</t>
    </r>
  </si>
  <si>
    <t>ДОУ</t>
  </si>
  <si>
    <r>
      <rPr>
        <b/>
        <sz val="9"/>
        <rFont val="Arial"/>
        <family val="2"/>
      </rPr>
      <t>МБДОУ  "Детский сад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</si>
  <si>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</si>
  <si>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</si>
  <si>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</si>
  <si>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</si>
  <si>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</si>
  <si>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</si>
  <si>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</si>
  <si>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</si>
  <si>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</si>
  <si>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</si>
  <si>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</si>
  <si>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</si>
  <si>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</si>
  <si>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</si>
  <si>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</si>
  <si>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</si>
  <si>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</si>
  <si>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</si>
  <si>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</si>
  <si>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</si>
  <si>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</si>
  <si>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</si>
  <si>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</si>
  <si>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</si>
  <si>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</si>
  <si>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</si>
  <si>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</si>
  <si>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</si>
  <si>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</si>
  <si>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</si>
  <si>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</si>
  <si>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</si>
  <si>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</si>
  <si>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</si>
  <si>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</si>
  <si>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</si>
  <si>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</si>
  <si>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</si>
  <si>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</si>
  <si>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</si>
  <si>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</si>
  <si>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</si>
  <si>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</si>
  <si>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</si>
  <si>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</si>
  <si>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</si>
  <si>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</si>
  <si>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</si>
  <si>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</si>
  <si>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</si>
  <si>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</si>
  <si>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</si>
  <si>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</si>
  <si>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</si>
  <si>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</si>
  <si>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</si>
  <si>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</si>
  <si>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</si>
  <si>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</si>
  <si>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</si>
  <si>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</si>
  <si>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</si>
  <si>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</si>
  <si>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</si>
  <si>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</si>
  <si>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69"</t>
    </r>
    <r>
      <rPr>
        <sz val="9"/>
        <rFont val="Arial"/>
        <family val="2"/>
      </rPr>
      <t xml:space="preserve"> всего, в том числе</t>
    </r>
  </si>
  <si>
    <r>
      <t>МБОУ</t>
    </r>
    <r>
      <rPr>
        <sz val="9"/>
        <rFont val="Arial"/>
        <family val="2"/>
      </rPr>
      <t xml:space="preserve"> "</t>
    </r>
    <r>
      <rPr>
        <b/>
        <sz val="9"/>
        <rFont val="Arial"/>
        <family val="2"/>
      </rPr>
      <t>Сергиево-Посадская гимназия"</t>
    </r>
    <r>
      <rPr>
        <sz val="9"/>
        <rFont val="Arial"/>
        <family val="0"/>
      </rPr>
      <t xml:space="preserve"> всего, в том числе</t>
    </r>
  </si>
  <si>
    <t>Прочие учреждения</t>
  </si>
  <si>
    <t>1.</t>
  </si>
  <si>
    <r>
      <t xml:space="preserve">УМЦО  </t>
    </r>
    <r>
      <rPr>
        <sz val="9"/>
        <rFont val="Arial"/>
        <family val="2"/>
      </rPr>
      <t>всего, в том числе</t>
    </r>
  </si>
  <si>
    <t>Численность</t>
  </si>
  <si>
    <t xml:space="preserve">МУНИЦИПАЛЬНЫМИ БЮДЖЕТНЫМИ УЧРЕЖДЕНИЯМИ ОБРАЗОВАНИЯ СЕРГИЕВО-ПОСАДСКОГО </t>
  </si>
  <si>
    <t xml:space="preserve">МУНИЦИПАЛЬНЫМИ БЮДЖЕТНЫМИ УЧРЕЖДЕНИЯМИ ОБРАЗОВАНИЯ СЕРГИЕВО-ПОСАДСКОГО МУНИЦИПАЛЬНОГО </t>
  </si>
  <si>
    <t>Объёмы муниципального задания на оказание муниципальных услуг</t>
  </si>
  <si>
    <t>Итого нормативные затраты</t>
  </si>
  <si>
    <r>
      <rPr>
        <b/>
        <sz val="9"/>
        <rFont val="Arial"/>
        <family val="2"/>
      </rPr>
      <t>МБДОУ  "Детский сад № 70"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</si>
  <si>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71"</t>
    </r>
    <r>
      <rPr>
        <sz val="9"/>
        <rFont val="Arial"/>
        <family val="2"/>
      </rPr>
      <t xml:space="preserve"> всего, в том числе</t>
    </r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</si>
  <si>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</si>
  <si>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</si>
  <si>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содержание имущества муниципальных учреждений, тыс. руб.</t>
  </si>
  <si>
    <t>Прочие затраты, связанные с оказанием муниципальной услуги,          тыс. руб.</t>
  </si>
  <si>
    <t>Итого нормативные затраты на муниципальную услугу,тыс. руб.</t>
  </si>
  <si>
    <t>В стоимостном выражении,          тыс. руб.</t>
  </si>
  <si>
    <t>Норматив учреждения дополнительного образования</t>
  </si>
  <si>
    <t>Норматив общеобразовательного учреждения</t>
  </si>
  <si>
    <t>Норматив УМЦО</t>
  </si>
  <si>
    <t>Норматив дошкольного учреждения</t>
  </si>
  <si>
    <t>Предоставление начального общего, основного общего, среднего (полного) общего образования и общедоступного бесплатного дошкольного образования</t>
  </si>
  <si>
    <t>Предоставление дополнительного образования детям</t>
  </si>
  <si>
    <t>Организация повышения квалификации, методическое обеспечение образовательного процесса в общеобразовательных учреждениях</t>
  </si>
  <si>
    <t>Предоставление общедоступного бесплатного дошкольного образования</t>
  </si>
  <si>
    <t xml:space="preserve">средства, получаемые из бюджета другого уровня </t>
  </si>
  <si>
    <t>прочие затраты, тыс.руб.</t>
  </si>
  <si>
    <r>
      <rPr>
        <b/>
        <sz val="9"/>
        <rFont val="Arial"/>
        <family val="2"/>
      </rPr>
      <t>МБДОУ  "Детский сад № 72"</t>
    </r>
    <r>
      <rPr>
        <sz val="9"/>
        <rFont val="Arial"/>
        <family val="2"/>
      </rPr>
      <t xml:space="preserve"> всего, в том числе</t>
    </r>
  </si>
  <si>
    <t>всего</t>
  </si>
  <si>
    <t xml:space="preserve">В натуральном выражении, ед. </t>
  </si>
  <si>
    <t xml:space="preserve">оплата труда, тыс.руб.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</si>
  <si>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</si>
  <si>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</si>
  <si>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>Всего</t>
  </si>
  <si>
    <t xml:space="preserve">Нормативные затраты на содержание имущества муниципальных учреждений,тыс. руб. </t>
  </si>
  <si>
    <t>Дети дошкольного возраста</t>
  </si>
  <si>
    <t xml:space="preserve">Нормативные затраты на оплату труда и начисления на выплаты по оплате труда, тыс. руб. </t>
  </si>
  <si>
    <r>
      <t>МБОУ</t>
    </r>
    <r>
      <rPr>
        <sz val="9"/>
        <rFont val="Arial"/>
        <family val="2"/>
      </rPr>
      <t xml:space="preserve"> "</t>
    </r>
    <r>
      <rPr>
        <b/>
        <sz val="9"/>
        <rFont val="Arial"/>
        <family val="2"/>
      </rPr>
      <t>Сергиево-Посадская гимназия"</t>
    </r>
    <r>
      <rPr>
        <sz val="9"/>
        <rFont val="Arial"/>
        <family val="0"/>
      </rPr>
      <t xml:space="preserve"> </t>
    </r>
  </si>
  <si>
    <r>
      <rPr>
        <b/>
        <sz val="9"/>
        <rFont val="Arial"/>
        <family val="2"/>
      </rPr>
      <t>МБОУ "СОШ № 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</si>
  <si>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"ФМЛ"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</si>
  <si>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"СОШ № 4"</t>
    </r>
  </si>
  <si>
    <r>
      <rPr>
        <b/>
        <sz val="9"/>
        <rFont val="Arial"/>
        <family val="2"/>
      </rPr>
      <t>МБОУ "Гимназия № 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</si>
  <si>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"СОШ № 6"</t>
    </r>
  </si>
  <si>
    <r>
      <rPr>
        <b/>
        <sz val="9"/>
        <rFont val="Arial"/>
        <family val="2"/>
      </rPr>
      <t>МБОУ  "СОШ (коррекционная) № 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</si>
  <si>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8"</t>
    </r>
  </si>
  <si>
    <r>
      <rPr>
        <b/>
        <sz val="9"/>
        <rFont val="Arial"/>
        <family val="2"/>
      </rPr>
      <t>МБОУ  "НОШ  № 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</si>
  <si>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</si>
  <si>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</si>
  <si>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"НОШ  № 13"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</si>
  <si>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</si>
  <si>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</si>
  <si>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</si>
  <si>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</si>
  <si>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</si>
  <si>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</si>
  <si>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</si>
  <si>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</si>
  <si>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</si>
  <si>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"Лицей № 24"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</si>
  <si>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</si>
  <si>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</si>
  <si>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</si>
  <si>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</si>
  <si>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"НОШ  № 29"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</si>
  <si>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"Краснозаводская СОШ  № 1"</t>
    </r>
  </si>
  <si>
    <r>
      <rPr>
        <b/>
        <sz val="9"/>
        <rFont val="Arial"/>
        <family val="2"/>
      </rPr>
      <t>МБОУ  "Краснозаводская СОШ  № 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</si>
  <si>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5 г. Пересвет"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</si>
  <si>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8 г. Пересвет"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</si>
  <si>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"Хотьковская СОШ  № 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</si>
  <si>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"Хотьковская НОШ  № 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</si>
  <si>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"Хотьковская ООШ  № 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</si>
  <si>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"Хотьковская СОШ  № 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</si>
  <si>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"Бужаниновская СОШ  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</si>
  <si>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"Васильевская СОШ  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</si>
  <si>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"Загорские дали"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</si>
  <si>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"Торгашинская СОШ  "</t>
    </r>
  </si>
  <si>
    <r>
      <rPr>
        <b/>
        <sz val="9"/>
        <rFont val="Arial"/>
        <family val="2"/>
      </rPr>
      <t>МБОУ  "Шеметовская СОШ  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</si>
  <si>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"Школа-сад № 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</si>
  <si>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"Школа-сад № 2"</t>
    </r>
  </si>
  <si>
    <r>
      <rPr>
        <b/>
        <sz val="9"/>
        <rFont val="Arial"/>
        <family val="2"/>
      </rPr>
      <t>МБОУ  "Школа-сад № 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</si>
  <si>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"Школа-сад № 7"</t>
    </r>
  </si>
  <si>
    <r>
      <rPr>
        <b/>
        <sz val="9"/>
        <rFont val="Arial"/>
        <family val="2"/>
      </rPr>
      <t>МБОУДОД  ДЮСШ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</si>
  <si>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 "Кругозор"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</si>
  <si>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 "Истоки"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</si>
  <si>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ЦДТ г. Краснозаводск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</si>
  <si>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"Гармония"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</si>
  <si>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"Кристалл"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</si>
  <si>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"Юность"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</si>
  <si>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"Спутник"</t>
    </r>
    <r>
      <rPr>
        <sz val="9"/>
        <rFont val="Arial"/>
        <family val="2"/>
      </rPr>
      <t xml:space="preserve"> </t>
    </r>
  </si>
  <si>
    <t xml:space="preserve">УМЦО  </t>
  </si>
  <si>
    <r>
      <rPr>
        <b/>
        <sz val="9"/>
        <rFont val="Arial"/>
        <family val="2"/>
      </rPr>
      <t>МБДОУ  "Детский сад № 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</si>
  <si>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</si>
  <si>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</si>
  <si>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</si>
  <si>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</si>
  <si>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</si>
  <si>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</si>
  <si>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</si>
  <si>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</si>
  <si>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</si>
  <si>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</si>
  <si>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</si>
  <si>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</si>
  <si>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</si>
  <si>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</si>
  <si>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</si>
  <si>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</si>
  <si>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</si>
  <si>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</si>
  <si>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</si>
  <si>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</si>
  <si>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</si>
  <si>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</si>
  <si>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</si>
  <si>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</si>
  <si>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</si>
  <si>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</si>
  <si>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</si>
  <si>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</si>
  <si>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</si>
  <si>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</si>
  <si>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</si>
  <si>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35"</t>
    </r>
  </si>
  <si>
    <r>
      <rPr>
        <b/>
        <sz val="9"/>
        <rFont val="Arial"/>
        <family val="2"/>
      </rPr>
      <t>МБДОУ  "Детский сад № 36"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</si>
  <si>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</si>
  <si>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</si>
  <si>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</si>
  <si>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</si>
  <si>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</si>
  <si>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</si>
  <si>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</si>
  <si>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44"</t>
    </r>
  </si>
  <si>
    <r>
      <rPr>
        <b/>
        <sz val="9"/>
        <rFont val="Arial"/>
        <family val="2"/>
      </rPr>
      <t>МБДОУ  "Детский сад № 45"</t>
    </r>
  </si>
  <si>
    <r>
      <rPr>
        <b/>
        <sz val="9"/>
        <rFont val="Arial"/>
        <family val="2"/>
      </rPr>
      <t>МБДОУ  "Детский сад № 46"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</si>
  <si>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47"</t>
    </r>
  </si>
  <si>
    <r>
      <rPr>
        <b/>
        <sz val="9"/>
        <rFont val="Arial"/>
        <family val="2"/>
      </rPr>
      <t>МБДОУ  "Детский сад № 48"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</si>
  <si>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</si>
  <si>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</si>
  <si>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</si>
  <si>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</si>
  <si>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</si>
  <si>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</si>
  <si>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</si>
  <si>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</si>
  <si>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</si>
  <si>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</si>
  <si>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</si>
  <si>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60"</t>
    </r>
  </si>
  <si>
    <r>
      <rPr>
        <b/>
        <sz val="9"/>
        <rFont val="Arial"/>
        <family val="2"/>
      </rPr>
      <t>МБДОУ  "Детский сад № 61"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</si>
  <si>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</si>
  <si>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</si>
  <si>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</si>
  <si>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</si>
  <si>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</si>
  <si>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</si>
  <si>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</si>
  <si>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</si>
  <si>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70"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</si>
  <si>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71"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</si>
  <si>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72"</t>
    </r>
    <r>
      <rPr>
        <sz val="9"/>
        <rFont val="Arial"/>
        <family val="2"/>
      </rPr>
      <t xml:space="preserve"> </t>
    </r>
  </si>
  <si>
    <t xml:space="preserve">от                                      № </t>
  </si>
  <si>
    <t>Нормативные затраты на содержание имущества муниципальных учреждений,тыс. руб.</t>
  </si>
  <si>
    <t xml:space="preserve"> </t>
  </si>
  <si>
    <t>МУНИЦИПАЛЬНОГО РАЙОНА МОСКОВСКОЙ ОБЛАСТИ В 2014 ГОДУ</t>
  </si>
  <si>
    <t>РАЙОНА МОСКОВСКОЙ ОБЛАСТИ В 2014 ГОДУ</t>
  </si>
  <si>
    <t>Приложение 1</t>
  </si>
  <si>
    <t>к постановлению Главы</t>
  </si>
  <si>
    <t>Приложение 2</t>
  </si>
  <si>
    <t xml:space="preserve">от 20.05.2015 №660-ПГ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</si>
</sst>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</numFmts>
  <fonts count="42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vertical="center" wrapText="1"/>
    </xf>
    <xf numFmtId="165" fontId="0" fillId="33" borderId="10" xfId="0" applyNumberFormat="1" applyFont="1" applyFill="1" applyBorder="1" applyAlignment="1">
      <alignment vertical="center" wrapText="1"/>
    </xf>
    <xf numFmtId="165" fontId="1" fillId="33" borderId="10" xfId="0" applyNumberFormat="1" applyFont="1" applyFill="1" applyBorder="1" applyAlignment="1">
      <alignment vertical="center" wrapText="1"/>
    </xf>
    <xf numFmtId="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166" fontId="0" fillId="33" borderId="10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6"/>
  <sheetViews>
    <sheetView tabSelected="1" zoomScale="75" zoomScaleNormal="75" zoomScaleSheetLayoutView="80" workbookViewId="0" topLeftCell="A1">
      <pane ySplit="15" topLeftCell="A256" activePane="bottomLeft" state="frozen"/>
      <selection pane="topLeft" activeCell="A1" sqref="A1"/>
      <selection pane="bottomLeft" activeCell="N6" sqref="N6"/>
    </sheetView>
  </sheetViews>
  <sheetFormatPr defaultColWidth="9.140625" defaultRowHeight="12"/>
  <cols>
    <col min="1" max="1" width="7.00390625" style="3" customWidth="1"/>
    <col min="2" max="2" width="49.8515625" style="3" customWidth="1"/>
    <col min="3" max="3" width="13.28125" style="3" hidden="1" customWidth="1"/>
    <col min="4" max="4" width="18.00390625" style="3" customWidth="1"/>
    <col min="5" max="5" width="12.8515625" style="3" hidden="1" customWidth="1"/>
    <col min="6" max="6" width="21.8515625" style="3" customWidth="1"/>
    <col min="7" max="7" width="12.8515625" style="3" hidden="1" customWidth="1"/>
    <col min="8" max="8" width="22.140625" style="3" customWidth="1"/>
    <col min="9" max="9" width="11.8515625" style="3" hidden="1" customWidth="1"/>
    <col min="10" max="10" width="15.8515625" style="3" customWidth="1"/>
    <col min="11" max="11" width="14.28125" style="14" customWidth="1"/>
    <col min="12" max="12" width="16.28125" style="13" customWidth="1"/>
    <col min="13" max="13" width="20.28125" style="20" customWidth="1"/>
    <col min="14" max="14" width="35.57421875" style="0" customWidth="1"/>
  </cols>
  <sheetData>
    <row r="1" spans="11:14" s="53" customFormat="1" ht="12.75">
      <c r="K1" s="56"/>
      <c r="L1" s="57"/>
      <c r="M1" s="57"/>
      <c r="N1" s="85" t="s">
        <v>295</v>
      </c>
    </row>
    <row r="2" spans="11:14" s="53" customFormat="1" ht="12.75">
      <c r="K2" s="56"/>
      <c r="L2" s="57"/>
      <c r="M2" s="57"/>
      <c r="N2" s="85" t="s">
        <v>296</v>
      </c>
    </row>
    <row r="3" spans="11:14" s="53" customFormat="1" ht="12.75">
      <c r="K3" s="56"/>
      <c r="L3" s="57"/>
      <c r="M3" s="57"/>
      <c r="N3" t="s">
        <v>0</v>
      </c>
    </row>
    <row r="4" spans="11:14" s="53" customFormat="1" ht="12.75">
      <c r="K4" s="56"/>
      <c r="L4" s="57"/>
      <c r="M4" s="57"/>
      <c r="N4" t="s">
        <v>1</v>
      </c>
    </row>
    <row r="5" spans="11:14" s="53" customFormat="1" ht="12.75">
      <c r="K5" s="56"/>
      <c r="L5" s="57"/>
      <c r="M5" s="57"/>
      <c r="N5"/>
    </row>
    <row r="6" spans="11:14" s="53" customFormat="1" ht="12.75">
      <c r="K6" s="56"/>
      <c r="L6" s="57"/>
      <c r="M6" s="57"/>
      <c r="N6" t="s">
        <v>298</v>
      </c>
    </row>
    <row r="7" spans="11:13" s="53" customFormat="1" ht="12.75">
      <c r="K7" s="56"/>
      <c r="L7" s="57"/>
      <c r="M7" s="58"/>
    </row>
    <row r="8" spans="1:16" s="53" customFormat="1" ht="12.75" customHeight="1">
      <c r="A8" s="94" t="s">
        <v>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59"/>
      <c r="P8" s="59"/>
    </row>
    <row r="9" spans="1:16" s="53" customFormat="1" ht="12.7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59"/>
      <c r="P9" s="59"/>
    </row>
    <row r="10" spans="1:16" s="53" customFormat="1" ht="12.75" customHeight="1">
      <c r="A10" s="94" t="s">
        <v>135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59"/>
      <c r="P10" s="59"/>
    </row>
    <row r="11" spans="1:16" s="53" customFormat="1" ht="12.75" customHeight="1">
      <c r="A11" s="94" t="s">
        <v>293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59"/>
      <c r="P11" s="59"/>
    </row>
    <row r="12" spans="6:13" s="53" customFormat="1" ht="12.75">
      <c r="F12" s="93"/>
      <c r="G12" s="93"/>
      <c r="H12" s="93"/>
      <c r="I12" s="93"/>
      <c r="J12" s="93"/>
      <c r="K12" s="56"/>
      <c r="L12" s="57"/>
      <c r="M12" s="58"/>
    </row>
    <row r="13" spans="1:14" s="53" customFormat="1" ht="48" customHeight="1">
      <c r="A13" s="92" t="s">
        <v>4</v>
      </c>
      <c r="B13" s="96" t="s">
        <v>5</v>
      </c>
      <c r="C13" s="60"/>
      <c r="D13" s="92" t="s">
        <v>6</v>
      </c>
      <c r="E13" s="92"/>
      <c r="F13" s="92"/>
      <c r="G13" s="92"/>
      <c r="H13" s="92"/>
      <c r="I13" s="92"/>
      <c r="J13" s="92"/>
      <c r="K13" s="90" t="s">
        <v>137</v>
      </c>
      <c r="L13" s="91"/>
      <c r="M13" s="97" t="s">
        <v>164</v>
      </c>
      <c r="N13" s="97" t="s">
        <v>138</v>
      </c>
    </row>
    <row r="14" spans="1:14" s="53" customFormat="1" ht="95.25" customHeight="1">
      <c r="A14" s="92"/>
      <c r="B14" s="96"/>
      <c r="C14" s="60" t="s">
        <v>160</v>
      </c>
      <c r="D14" s="49" t="s">
        <v>166</v>
      </c>
      <c r="E14" s="49" t="s">
        <v>161</v>
      </c>
      <c r="F14" s="49" t="s">
        <v>162</v>
      </c>
      <c r="G14" s="49" t="s">
        <v>156</v>
      </c>
      <c r="H14" s="49" t="s">
        <v>144</v>
      </c>
      <c r="I14" s="61" t="s">
        <v>134</v>
      </c>
      <c r="J14" s="49" t="s">
        <v>145</v>
      </c>
      <c r="K14" s="62" t="s">
        <v>159</v>
      </c>
      <c r="L14" s="63" t="s">
        <v>146</v>
      </c>
      <c r="M14" s="98"/>
      <c r="N14" s="98"/>
    </row>
    <row r="15" spans="1:14" s="53" customFormat="1" ht="51.75" customHeight="1">
      <c r="A15" s="64">
        <v>1</v>
      </c>
      <c r="B15" s="65" t="s">
        <v>151</v>
      </c>
      <c r="C15" s="66"/>
      <c r="D15" s="67"/>
      <c r="E15" s="67"/>
      <c r="F15" s="67"/>
      <c r="G15" s="67"/>
      <c r="H15" s="67"/>
      <c r="I15" s="67"/>
      <c r="J15" s="67"/>
      <c r="K15" s="52"/>
      <c r="L15" s="68"/>
      <c r="M15" s="69"/>
      <c r="N15" s="70"/>
    </row>
    <row r="16" spans="1:14" ht="12.75">
      <c r="A16" s="8"/>
      <c r="B16" s="4" t="s">
        <v>53</v>
      </c>
      <c r="C16" s="4"/>
      <c r="D16" s="4"/>
      <c r="E16" s="4"/>
      <c r="F16" s="4"/>
      <c r="G16" s="4"/>
      <c r="H16" s="4"/>
      <c r="I16" s="4"/>
      <c r="J16" s="4"/>
      <c r="K16" s="15"/>
      <c r="L16" s="16"/>
      <c r="M16" s="19"/>
      <c r="N16" s="22"/>
    </row>
    <row r="17" spans="1:14" ht="30" customHeight="1">
      <c r="A17" s="7">
        <v>1</v>
      </c>
      <c r="B17" s="6" t="s">
        <v>130</v>
      </c>
      <c r="C17" s="9">
        <f aca="true" t="shared" si="0" ref="C17:H17">C18+C19</f>
        <v>19445</v>
      </c>
      <c r="D17" s="9">
        <f t="shared" si="0"/>
        <v>73.65530303030303</v>
      </c>
      <c r="E17" s="9">
        <f t="shared" si="0"/>
        <v>135.6</v>
      </c>
      <c r="F17" s="9">
        <f t="shared" si="0"/>
        <v>0.5136363636363637</v>
      </c>
      <c r="G17" s="9">
        <f t="shared" si="0"/>
        <v>2321.8</v>
      </c>
      <c r="H17" s="9">
        <f t="shared" si="0"/>
        <v>8.79469696969697</v>
      </c>
      <c r="I17" s="28">
        <f>K17</f>
        <v>264</v>
      </c>
      <c r="J17" s="9">
        <f>J18+J19</f>
        <v>82.96363636363635</v>
      </c>
      <c r="K17" s="74">
        <v>264</v>
      </c>
      <c r="L17" s="9">
        <f>J17*K17</f>
        <v>21902.399999999998</v>
      </c>
      <c r="M17" s="19">
        <f>M18</f>
        <v>175.7</v>
      </c>
      <c r="N17" s="19">
        <f>L17+M17</f>
        <v>22078.1</v>
      </c>
    </row>
    <row r="18" spans="1:14" ht="12.75">
      <c r="A18" s="7"/>
      <c r="B18" s="5" t="s">
        <v>7</v>
      </c>
      <c r="C18" s="5">
        <v>353.7</v>
      </c>
      <c r="D18" s="10">
        <f>C18/I18</f>
        <v>1.3397727272727273</v>
      </c>
      <c r="E18" s="10">
        <f>271.2-135.6</f>
        <v>135.6</v>
      </c>
      <c r="F18" s="10">
        <f>E18/I18</f>
        <v>0.5136363636363637</v>
      </c>
      <c r="G18" s="10">
        <f>1821.8-C18-E18-M18</f>
        <v>1156.8</v>
      </c>
      <c r="H18" s="10">
        <f>G18/I18</f>
        <v>4.381818181818182</v>
      </c>
      <c r="I18" s="73">
        <f aca="true" t="shared" si="1" ref="I18:I81">K18</f>
        <v>264</v>
      </c>
      <c r="J18" s="10">
        <f>(D18+F18+H18)</f>
        <v>6.235227272727273</v>
      </c>
      <c r="K18" s="17">
        <f>K17</f>
        <v>264</v>
      </c>
      <c r="L18" s="18">
        <f aca="true" t="shared" si="2" ref="L18:L81">J18*K18</f>
        <v>1646.1000000000001</v>
      </c>
      <c r="M18" s="21">
        <v>175.7</v>
      </c>
      <c r="N18" s="21">
        <f aca="true" t="shared" si="3" ref="N18:N81">L18+M18</f>
        <v>1821.8000000000002</v>
      </c>
    </row>
    <row r="19" spans="1:14" ht="12.75">
      <c r="A19" s="7"/>
      <c r="B19" s="5" t="s">
        <v>155</v>
      </c>
      <c r="C19" s="5">
        <v>19091.3</v>
      </c>
      <c r="D19" s="10">
        <f>C19/I19</f>
        <v>72.3155303030303</v>
      </c>
      <c r="E19" s="10"/>
      <c r="F19" s="10"/>
      <c r="G19" s="10">
        <f>20256.3-C19-E19-M19</f>
        <v>1165</v>
      </c>
      <c r="H19" s="10">
        <f>G19/I19</f>
        <v>4.412878787878788</v>
      </c>
      <c r="I19" s="73">
        <f t="shared" si="1"/>
        <v>264</v>
      </c>
      <c r="J19" s="10">
        <f>(D19+F19+H19)</f>
        <v>76.72840909090908</v>
      </c>
      <c r="K19" s="17">
        <f>K17</f>
        <v>264</v>
      </c>
      <c r="L19" s="18">
        <f t="shared" si="2"/>
        <v>20256.3</v>
      </c>
      <c r="M19" s="21"/>
      <c r="N19" s="21">
        <f t="shared" si="3"/>
        <v>20256.3</v>
      </c>
    </row>
    <row r="20" spans="1:14" ht="12.75">
      <c r="A20" s="7">
        <v>2</v>
      </c>
      <c r="B20" s="5" t="s">
        <v>10</v>
      </c>
      <c r="C20" s="9">
        <f aca="true" t="shared" si="4" ref="C20:H20">C21+C22</f>
        <v>33522.4</v>
      </c>
      <c r="D20" s="9">
        <f t="shared" si="4"/>
        <v>44.99651006711409</v>
      </c>
      <c r="E20" s="9">
        <f t="shared" si="4"/>
        <v>1037.4999999999998</v>
      </c>
      <c r="F20" s="9">
        <f t="shared" si="4"/>
        <v>1.3926174496644292</v>
      </c>
      <c r="G20" s="9">
        <f t="shared" si="4"/>
        <v>5549.399999999999</v>
      </c>
      <c r="H20" s="9">
        <f t="shared" si="4"/>
        <v>7.4488590604026825</v>
      </c>
      <c r="I20" s="28">
        <f t="shared" si="1"/>
        <v>745</v>
      </c>
      <c r="J20" s="9">
        <f>J21+J22</f>
        <v>53.837986577181205</v>
      </c>
      <c r="K20" s="74">
        <v>745</v>
      </c>
      <c r="L20" s="9">
        <f t="shared" si="2"/>
        <v>40109.299999999996</v>
      </c>
      <c r="M20" s="19">
        <f>M21</f>
        <v>2018.2</v>
      </c>
      <c r="N20" s="19">
        <f t="shared" si="3"/>
        <v>42127.49999999999</v>
      </c>
    </row>
    <row r="21" spans="1:14" ht="12.75">
      <c r="A21" s="7"/>
      <c r="B21" s="5" t="s">
        <v>7</v>
      </c>
      <c r="C21" s="5">
        <v>643.3</v>
      </c>
      <c r="D21" s="10">
        <f>C21/I21</f>
        <v>0.863489932885906</v>
      </c>
      <c r="E21" s="10">
        <f>2245.7-1208.2</f>
        <v>1037.4999999999998</v>
      </c>
      <c r="F21" s="10">
        <f>E21/I21</f>
        <v>1.3926174496644292</v>
      </c>
      <c r="G21" s="10">
        <f>5558.3+28-C21-E21-M21</f>
        <v>1887.3</v>
      </c>
      <c r="H21" s="10">
        <f>G21/I21</f>
        <v>2.533288590604027</v>
      </c>
      <c r="I21" s="73">
        <f t="shared" si="1"/>
        <v>745</v>
      </c>
      <c r="J21" s="10">
        <f>(D21+F21+H21)</f>
        <v>4.789395973154362</v>
      </c>
      <c r="K21" s="17">
        <f>K20</f>
        <v>745</v>
      </c>
      <c r="L21" s="18">
        <f t="shared" si="2"/>
        <v>3568.1</v>
      </c>
      <c r="M21" s="21">
        <v>2018.2</v>
      </c>
      <c r="N21" s="21">
        <f t="shared" si="3"/>
        <v>5586.3</v>
      </c>
    </row>
    <row r="22" spans="1:14" ht="12.75">
      <c r="A22" s="7"/>
      <c r="B22" s="5" t="s">
        <v>155</v>
      </c>
      <c r="C22" s="5">
        <v>32879.1</v>
      </c>
      <c r="D22" s="10">
        <f>C22/I22</f>
        <v>44.13302013422818</v>
      </c>
      <c r="E22" s="10"/>
      <c r="F22" s="10"/>
      <c r="G22" s="10">
        <f>36389.2+152-C22-E22-M22</f>
        <v>3662.0999999999985</v>
      </c>
      <c r="H22" s="10">
        <f>G22/I22</f>
        <v>4.915570469798656</v>
      </c>
      <c r="I22" s="73">
        <f t="shared" si="1"/>
        <v>745</v>
      </c>
      <c r="J22" s="10">
        <f>(D22+F22+H22)</f>
        <v>49.04859060402684</v>
      </c>
      <c r="K22" s="17">
        <f>K20</f>
        <v>745</v>
      </c>
      <c r="L22" s="18">
        <f t="shared" si="2"/>
        <v>36541.2</v>
      </c>
      <c r="M22" s="21"/>
      <c r="N22" s="21">
        <f t="shared" si="3"/>
        <v>36541.2</v>
      </c>
    </row>
    <row r="23" spans="1:14" ht="12.75">
      <c r="A23" s="7">
        <v>3</v>
      </c>
      <c r="B23" s="5" t="s">
        <v>11</v>
      </c>
      <c r="C23" s="9">
        <f aca="true" t="shared" si="5" ref="C23:H23">C24+C25</f>
        <v>13826</v>
      </c>
      <c r="D23" s="9">
        <f t="shared" si="5"/>
        <v>89.2</v>
      </c>
      <c r="E23" s="9">
        <f t="shared" si="5"/>
        <v>268.79999999999995</v>
      </c>
      <c r="F23" s="9">
        <f t="shared" si="5"/>
        <v>1.7341935483870965</v>
      </c>
      <c r="G23" s="9">
        <f t="shared" si="5"/>
        <v>1271.1999999999998</v>
      </c>
      <c r="H23" s="9">
        <f t="shared" si="5"/>
        <v>8.201290322580643</v>
      </c>
      <c r="I23" s="28">
        <f t="shared" si="1"/>
        <v>155</v>
      </c>
      <c r="J23" s="9">
        <f>J24+J25</f>
        <v>99.13548387096775</v>
      </c>
      <c r="K23" s="74">
        <v>155</v>
      </c>
      <c r="L23" s="9">
        <f t="shared" si="2"/>
        <v>15366</v>
      </c>
      <c r="M23" s="19">
        <f>M24</f>
        <v>212.5</v>
      </c>
      <c r="N23" s="19">
        <f t="shared" si="3"/>
        <v>15578.5</v>
      </c>
    </row>
    <row r="24" spans="1:14" ht="12.75">
      <c r="A24" s="7"/>
      <c r="B24" s="5" t="s">
        <v>7</v>
      </c>
      <c r="C24" s="5">
        <v>307.8</v>
      </c>
      <c r="D24" s="10">
        <f>C24/I24</f>
        <v>1.9858064516129033</v>
      </c>
      <c r="E24" s="10">
        <f>473.9-205.1</f>
        <v>268.79999999999995</v>
      </c>
      <c r="F24" s="10">
        <f>E24/I24</f>
        <v>1.7341935483870965</v>
      </c>
      <c r="G24" s="10">
        <f>1385.9-C24-E24-M24</f>
        <v>596.8000000000002</v>
      </c>
      <c r="H24" s="10">
        <f>G24/I24</f>
        <v>3.8503225806451624</v>
      </c>
      <c r="I24" s="73">
        <f t="shared" si="1"/>
        <v>155</v>
      </c>
      <c r="J24" s="10">
        <f>(D24+F24+H24)</f>
        <v>7.570322580645162</v>
      </c>
      <c r="K24" s="17">
        <f>K23</f>
        <v>155</v>
      </c>
      <c r="L24" s="18">
        <f t="shared" si="2"/>
        <v>1173.4</v>
      </c>
      <c r="M24" s="21">
        <v>212.5</v>
      </c>
      <c r="N24" s="21">
        <f t="shared" si="3"/>
        <v>1385.9</v>
      </c>
    </row>
    <row r="25" spans="1:14" ht="12.75">
      <c r="A25" s="7"/>
      <c r="B25" s="5" t="s">
        <v>155</v>
      </c>
      <c r="C25" s="5">
        <v>13518.2</v>
      </c>
      <c r="D25" s="10">
        <f>C25/I25</f>
        <v>87.2141935483871</v>
      </c>
      <c r="E25" s="10"/>
      <c r="F25" s="10"/>
      <c r="G25" s="10">
        <f>14192.6-C25-E25-M25</f>
        <v>674.3999999999996</v>
      </c>
      <c r="H25" s="10">
        <f>G25/I25</f>
        <v>4.350967741935482</v>
      </c>
      <c r="I25" s="73">
        <f t="shared" si="1"/>
        <v>155</v>
      </c>
      <c r="J25" s="10">
        <f>(D25+F25+H25)</f>
        <v>91.56516129032258</v>
      </c>
      <c r="K25" s="17">
        <f>K23</f>
        <v>155</v>
      </c>
      <c r="L25" s="18">
        <f t="shared" si="2"/>
        <v>14192.6</v>
      </c>
      <c r="M25" s="21"/>
      <c r="N25" s="21">
        <f t="shared" si="3"/>
        <v>14192.6</v>
      </c>
    </row>
    <row r="26" spans="1:14" ht="12.75">
      <c r="A26" s="7">
        <v>4</v>
      </c>
      <c r="B26" s="5" t="s">
        <v>12</v>
      </c>
      <c r="C26" s="9">
        <f aca="true" t="shared" si="6" ref="C26:H26">C27+C28</f>
        <v>50398.600000000006</v>
      </c>
      <c r="D26" s="9">
        <f t="shared" si="6"/>
        <v>48.553564547206165</v>
      </c>
      <c r="E26" s="9">
        <f t="shared" si="6"/>
        <v>835.0999999999999</v>
      </c>
      <c r="F26" s="9">
        <f t="shared" si="6"/>
        <v>0.8045279383429672</v>
      </c>
      <c r="G26" s="9">
        <f t="shared" si="6"/>
        <v>6768.699999999999</v>
      </c>
      <c r="H26" s="9">
        <f t="shared" si="6"/>
        <v>6.520905587668592</v>
      </c>
      <c r="I26" s="28">
        <f t="shared" si="1"/>
        <v>1038</v>
      </c>
      <c r="J26" s="9">
        <f>J27+J28</f>
        <v>55.87899807321773</v>
      </c>
      <c r="K26" s="74">
        <v>1038</v>
      </c>
      <c r="L26" s="9">
        <f t="shared" si="2"/>
        <v>58002.4</v>
      </c>
      <c r="M26" s="19">
        <f>M27</f>
        <v>884.5</v>
      </c>
      <c r="N26" s="19">
        <f t="shared" si="3"/>
        <v>58886.9</v>
      </c>
    </row>
    <row r="27" spans="1:14" ht="12.75">
      <c r="A27" s="7"/>
      <c r="B27" s="5" t="s">
        <v>7</v>
      </c>
      <c r="C27" s="5">
        <v>1608.3</v>
      </c>
      <c r="D27" s="10">
        <f>C27/I27</f>
        <v>1.549421965317919</v>
      </c>
      <c r="E27" s="10">
        <f>1622.3-787.2</f>
        <v>835.0999999999999</v>
      </c>
      <c r="F27" s="10">
        <f>E27/K27</f>
        <v>0.8045279383429672</v>
      </c>
      <c r="G27" s="10">
        <f>4769.5+42-C27-E27-M27</f>
        <v>1483.6</v>
      </c>
      <c r="H27" s="10">
        <f>G27/I27</f>
        <v>1.4292870905587667</v>
      </c>
      <c r="I27" s="73">
        <f t="shared" si="1"/>
        <v>1038</v>
      </c>
      <c r="J27" s="10">
        <f>(D27+F27+H27)</f>
        <v>3.783236994219653</v>
      </c>
      <c r="K27" s="17">
        <f>K26</f>
        <v>1038</v>
      </c>
      <c r="L27" s="18">
        <f t="shared" si="2"/>
        <v>3926.9999999999995</v>
      </c>
      <c r="M27" s="21">
        <v>884.5</v>
      </c>
      <c r="N27" s="21">
        <f t="shared" si="3"/>
        <v>4811.5</v>
      </c>
    </row>
    <row r="28" spans="1:14" ht="12.75">
      <c r="A28" s="7"/>
      <c r="B28" s="5" t="s">
        <v>155</v>
      </c>
      <c r="C28" s="5">
        <v>48790.3</v>
      </c>
      <c r="D28" s="10">
        <f>C28/I28</f>
        <v>47.004142581888246</v>
      </c>
      <c r="E28" s="10"/>
      <c r="F28" s="10"/>
      <c r="G28" s="10">
        <f>53847.4+228-C28-E28-M28</f>
        <v>5285.0999999999985</v>
      </c>
      <c r="H28" s="10">
        <f>G28/I28</f>
        <v>5.091618497109825</v>
      </c>
      <c r="I28" s="73">
        <f t="shared" si="1"/>
        <v>1038</v>
      </c>
      <c r="J28" s="10">
        <f>(D28+F28+H28)</f>
        <v>52.09576107899807</v>
      </c>
      <c r="K28" s="17">
        <f>K26</f>
        <v>1038</v>
      </c>
      <c r="L28" s="18">
        <f t="shared" si="2"/>
        <v>54075.4</v>
      </c>
      <c r="M28" s="19"/>
      <c r="N28" s="21">
        <f t="shared" si="3"/>
        <v>54075.4</v>
      </c>
    </row>
    <row r="29" spans="1:14" ht="12.75">
      <c r="A29" s="7">
        <v>5</v>
      </c>
      <c r="B29" s="5" t="s">
        <v>13</v>
      </c>
      <c r="C29" s="9">
        <f aca="true" t="shared" si="7" ref="C29:H29">C30+C31</f>
        <v>41504.3</v>
      </c>
      <c r="D29" s="9">
        <f t="shared" si="7"/>
        <v>59.20727532097005</v>
      </c>
      <c r="E29" s="9">
        <f t="shared" si="7"/>
        <v>625.8</v>
      </c>
      <c r="F29" s="9">
        <f t="shared" si="7"/>
        <v>0.8927246790299571</v>
      </c>
      <c r="G29" s="9">
        <f t="shared" si="7"/>
        <v>4801.299999999996</v>
      </c>
      <c r="H29" s="9">
        <f t="shared" si="7"/>
        <v>6.849215406562047</v>
      </c>
      <c r="I29" s="28">
        <f t="shared" si="1"/>
        <v>701</v>
      </c>
      <c r="J29" s="9">
        <f>J30+J31</f>
        <v>66.94921540656206</v>
      </c>
      <c r="K29" s="74">
        <v>701</v>
      </c>
      <c r="L29" s="9">
        <f t="shared" si="2"/>
        <v>46931.4</v>
      </c>
      <c r="M29" s="19">
        <f>M30</f>
        <v>1198.6</v>
      </c>
      <c r="N29" s="19">
        <f t="shared" si="3"/>
        <v>48130</v>
      </c>
    </row>
    <row r="30" spans="1:14" ht="12.75">
      <c r="A30" s="7"/>
      <c r="B30" s="5" t="s">
        <v>7</v>
      </c>
      <c r="C30" s="5">
        <v>564</v>
      </c>
      <c r="D30" s="10">
        <f>C30/I30</f>
        <v>0.8045649072753209</v>
      </c>
      <c r="E30" s="10">
        <f>1444.8-819</f>
        <v>625.8</v>
      </c>
      <c r="F30" s="10">
        <f>E30/K30</f>
        <v>0.8927246790299571</v>
      </c>
      <c r="G30" s="10">
        <f>4142.9-C30-E30-M30</f>
        <v>1754.4999999999995</v>
      </c>
      <c r="H30" s="10">
        <f>G30/I30</f>
        <v>2.502853067047075</v>
      </c>
      <c r="I30" s="73">
        <f t="shared" si="1"/>
        <v>701</v>
      </c>
      <c r="J30" s="10">
        <f>(D30+F30+H30)</f>
        <v>4.200142653352353</v>
      </c>
      <c r="K30" s="17">
        <f>K29</f>
        <v>701</v>
      </c>
      <c r="L30" s="18">
        <f t="shared" si="2"/>
        <v>2944.2999999999997</v>
      </c>
      <c r="M30" s="21">
        <v>1198.6</v>
      </c>
      <c r="N30" s="21">
        <f t="shared" si="3"/>
        <v>4142.9</v>
      </c>
    </row>
    <row r="31" spans="1:14" ht="12.75">
      <c r="A31" s="7"/>
      <c r="B31" s="5" t="s">
        <v>155</v>
      </c>
      <c r="C31" s="5">
        <v>40940.3</v>
      </c>
      <c r="D31" s="10">
        <f>C31/I31</f>
        <v>58.40271041369473</v>
      </c>
      <c r="E31" s="10"/>
      <c r="F31" s="10"/>
      <c r="G31" s="10">
        <f>43987.1-C31-E31-M31</f>
        <v>3046.7999999999956</v>
      </c>
      <c r="H31" s="10">
        <f>G31/I31</f>
        <v>4.346362339514973</v>
      </c>
      <c r="I31" s="73">
        <f t="shared" si="1"/>
        <v>701</v>
      </c>
      <c r="J31" s="10">
        <f>(D31+F31+H31)</f>
        <v>62.7490727532097</v>
      </c>
      <c r="K31" s="17">
        <f>K29</f>
        <v>701</v>
      </c>
      <c r="L31" s="18">
        <f t="shared" si="2"/>
        <v>43987.1</v>
      </c>
      <c r="M31" s="19"/>
      <c r="N31" s="21">
        <f t="shared" si="3"/>
        <v>43987.1</v>
      </c>
    </row>
    <row r="32" spans="1:14" ht="12.75">
      <c r="A32" s="7">
        <v>6</v>
      </c>
      <c r="B32" s="5" t="s">
        <v>14</v>
      </c>
      <c r="C32" s="9">
        <f aca="true" t="shared" si="8" ref="C32:H32">C33+C34</f>
        <v>27668.5</v>
      </c>
      <c r="D32" s="9">
        <f t="shared" si="8"/>
        <v>52.008458646616546</v>
      </c>
      <c r="E32" s="9">
        <f t="shared" si="8"/>
        <v>1267.1</v>
      </c>
      <c r="F32" s="9">
        <f t="shared" si="8"/>
        <v>2.3817669172932328</v>
      </c>
      <c r="G32" s="9">
        <f t="shared" si="8"/>
        <v>3947.599999999998</v>
      </c>
      <c r="H32" s="9">
        <f t="shared" si="8"/>
        <v>7.4203007518796955</v>
      </c>
      <c r="I32" s="28">
        <f t="shared" si="1"/>
        <v>532</v>
      </c>
      <c r="J32" s="9">
        <f>J33+J34</f>
        <v>61.810526315789474</v>
      </c>
      <c r="K32" s="74">
        <v>532</v>
      </c>
      <c r="L32" s="9">
        <f t="shared" si="2"/>
        <v>32883.2</v>
      </c>
      <c r="M32" s="19">
        <f>M33</f>
        <v>1325.5</v>
      </c>
      <c r="N32" s="19">
        <f t="shared" si="3"/>
        <v>34208.7</v>
      </c>
    </row>
    <row r="33" spans="1:14" ht="12.75">
      <c r="A33" s="7"/>
      <c r="B33" s="5" t="s">
        <v>7</v>
      </c>
      <c r="C33" s="5">
        <v>741.8</v>
      </c>
      <c r="D33" s="10">
        <f>C33/I33</f>
        <v>1.394360902255639</v>
      </c>
      <c r="E33" s="10">
        <f>1992.6-725.5</f>
        <v>1267.1</v>
      </c>
      <c r="F33" s="10">
        <f>E33/K33</f>
        <v>2.3817669172932328</v>
      </c>
      <c r="G33" s="10">
        <f>4636.4-C33-E33-M33</f>
        <v>1301.9999999999995</v>
      </c>
      <c r="H33" s="10">
        <f>G33/I33</f>
        <v>2.4473684210526305</v>
      </c>
      <c r="I33" s="73">
        <f t="shared" si="1"/>
        <v>532</v>
      </c>
      <c r="J33" s="10">
        <f>(D33+F33+H33)</f>
        <v>6.223496240601502</v>
      </c>
      <c r="K33" s="17">
        <f>K32</f>
        <v>532</v>
      </c>
      <c r="L33" s="18">
        <f t="shared" si="2"/>
        <v>3310.899999999999</v>
      </c>
      <c r="M33" s="21">
        <v>1325.5</v>
      </c>
      <c r="N33" s="21">
        <f t="shared" si="3"/>
        <v>4636.4</v>
      </c>
    </row>
    <row r="34" spans="1:14" ht="12.75">
      <c r="A34" s="7"/>
      <c r="B34" s="5" t="s">
        <v>155</v>
      </c>
      <c r="C34" s="5">
        <v>26926.7</v>
      </c>
      <c r="D34" s="10">
        <f>C34/I34</f>
        <v>50.614097744360905</v>
      </c>
      <c r="E34" s="10"/>
      <c r="F34" s="10"/>
      <c r="G34" s="10">
        <f>29493.3+79-C34-E34-M34</f>
        <v>2645.5999999999985</v>
      </c>
      <c r="H34" s="10">
        <f>G34/I34</f>
        <v>4.9729323308270645</v>
      </c>
      <c r="I34" s="73">
        <f t="shared" si="1"/>
        <v>532</v>
      </c>
      <c r="J34" s="10">
        <f>(D34+F34+H34)</f>
        <v>55.58703007518797</v>
      </c>
      <c r="K34" s="17">
        <f>K32</f>
        <v>532</v>
      </c>
      <c r="L34" s="18">
        <f t="shared" si="2"/>
        <v>29572.3</v>
      </c>
      <c r="M34" s="21"/>
      <c r="N34" s="21">
        <f t="shared" si="3"/>
        <v>29572.3</v>
      </c>
    </row>
    <row r="35" spans="1:14" ht="12.75">
      <c r="A35" s="7">
        <v>7</v>
      </c>
      <c r="B35" s="5" t="s">
        <v>15</v>
      </c>
      <c r="C35" s="9">
        <f aca="true" t="shared" si="9" ref="C35:H35">C36+C37</f>
        <v>28925</v>
      </c>
      <c r="D35" s="9">
        <f t="shared" si="9"/>
        <v>126.86403508771929</v>
      </c>
      <c r="E35" s="9">
        <f t="shared" si="9"/>
        <v>664</v>
      </c>
      <c r="F35" s="9">
        <f t="shared" si="9"/>
        <v>2.912280701754386</v>
      </c>
      <c r="G35" s="9">
        <f t="shared" si="9"/>
        <v>5359.800000000003</v>
      </c>
      <c r="H35" s="9">
        <f t="shared" si="9"/>
        <v>23.50789473684212</v>
      </c>
      <c r="I35" s="28">
        <f t="shared" si="1"/>
        <v>228</v>
      </c>
      <c r="J35" s="9">
        <f>J36+J37</f>
        <v>153.2842105263158</v>
      </c>
      <c r="K35" s="74">
        <v>228</v>
      </c>
      <c r="L35" s="9">
        <f t="shared" si="2"/>
        <v>34948.8</v>
      </c>
      <c r="M35" s="19">
        <f>M36</f>
        <v>646.7</v>
      </c>
      <c r="N35" s="19">
        <f t="shared" si="3"/>
        <v>35595.5</v>
      </c>
    </row>
    <row r="36" spans="1:14" ht="12.75">
      <c r="A36" s="7"/>
      <c r="B36" s="5" t="s">
        <v>7</v>
      </c>
      <c r="C36" s="5">
        <v>232.7</v>
      </c>
      <c r="D36" s="10">
        <f>C36/I36</f>
        <v>1.0206140350877193</v>
      </c>
      <c r="E36" s="10">
        <f>1015.7-351.7</f>
        <v>664</v>
      </c>
      <c r="F36" s="10">
        <f>E36/K36</f>
        <v>2.912280701754386</v>
      </c>
      <c r="G36" s="10">
        <f>6055.6+26.5-C36-E36-M36</f>
        <v>4538.700000000001</v>
      </c>
      <c r="H36" s="10">
        <f>G36/I36</f>
        <v>19.906578947368423</v>
      </c>
      <c r="I36" s="73">
        <f t="shared" si="1"/>
        <v>228</v>
      </c>
      <c r="J36" s="10">
        <f>(D36+F36+H36)</f>
        <v>23.839473684210528</v>
      </c>
      <c r="K36" s="17">
        <f>K35</f>
        <v>228</v>
      </c>
      <c r="L36" s="18">
        <f t="shared" si="2"/>
        <v>5435.400000000001</v>
      </c>
      <c r="M36" s="21">
        <v>646.7</v>
      </c>
      <c r="N36" s="21">
        <f t="shared" si="3"/>
        <v>6082.1</v>
      </c>
    </row>
    <row r="37" spans="1:14" ht="12.75">
      <c r="A37" s="7"/>
      <c r="B37" s="5" t="s">
        <v>155</v>
      </c>
      <c r="C37" s="5">
        <v>28692.3</v>
      </c>
      <c r="D37" s="10">
        <f>C37/I37</f>
        <v>125.84342105263157</v>
      </c>
      <c r="E37" s="10"/>
      <c r="F37" s="10"/>
      <c r="G37" s="10">
        <f>29437.4+76-C37-E37-M37</f>
        <v>821.1000000000022</v>
      </c>
      <c r="H37" s="10">
        <f>G37/I37</f>
        <v>3.6013157894736936</v>
      </c>
      <c r="I37" s="73">
        <f t="shared" si="1"/>
        <v>228</v>
      </c>
      <c r="J37" s="10">
        <f>(D37+F37+H37)</f>
        <v>129.44473684210527</v>
      </c>
      <c r="K37" s="17">
        <f>K35</f>
        <v>228</v>
      </c>
      <c r="L37" s="18">
        <f t="shared" si="2"/>
        <v>29513.4</v>
      </c>
      <c r="M37" s="21"/>
      <c r="N37" s="21">
        <f t="shared" si="3"/>
        <v>29513.4</v>
      </c>
    </row>
    <row r="38" spans="1:14" ht="12.75">
      <c r="A38" s="7">
        <v>8</v>
      </c>
      <c r="B38" s="5" t="s">
        <v>16</v>
      </c>
      <c r="C38" s="9">
        <f aca="true" t="shared" si="10" ref="C38:H38">C39+C40</f>
        <v>26817.5</v>
      </c>
      <c r="D38" s="9">
        <f t="shared" si="10"/>
        <v>54.06754032258064</v>
      </c>
      <c r="E38" s="9">
        <f t="shared" si="10"/>
        <v>1019.3000000000001</v>
      </c>
      <c r="F38" s="9">
        <f t="shared" si="10"/>
        <v>2.0550403225806453</v>
      </c>
      <c r="G38" s="9">
        <f t="shared" si="10"/>
        <v>3414.000000000002</v>
      </c>
      <c r="H38" s="9">
        <f t="shared" si="10"/>
        <v>6.8830645161290365</v>
      </c>
      <c r="I38" s="28">
        <f t="shared" si="1"/>
        <v>496</v>
      </c>
      <c r="J38" s="9">
        <f>J39+J40</f>
        <v>63.005645161290325</v>
      </c>
      <c r="K38" s="74">
        <v>496</v>
      </c>
      <c r="L38" s="9">
        <f t="shared" si="2"/>
        <v>31250.8</v>
      </c>
      <c r="M38" s="19">
        <f>M39</f>
        <v>957.8</v>
      </c>
      <c r="N38" s="19">
        <f t="shared" si="3"/>
        <v>32208.6</v>
      </c>
    </row>
    <row r="39" spans="1:14" ht="12.75">
      <c r="A39" s="7"/>
      <c r="B39" s="5" t="s">
        <v>7</v>
      </c>
      <c r="C39" s="5">
        <v>499.4</v>
      </c>
      <c r="D39" s="10">
        <f>C39/I39</f>
        <v>1.0068548387096774</v>
      </c>
      <c r="E39" s="10">
        <f>1870.7-851.4</f>
        <v>1019.3000000000001</v>
      </c>
      <c r="F39" s="10">
        <f>E39/K39</f>
        <v>2.0550403225806453</v>
      </c>
      <c r="G39" s="10">
        <f>3394.4-C39-E39-M39</f>
        <v>917.8999999999999</v>
      </c>
      <c r="H39" s="10">
        <f>G39/I39</f>
        <v>1.8506048387096772</v>
      </c>
      <c r="I39" s="73">
        <f t="shared" si="1"/>
        <v>496</v>
      </c>
      <c r="J39" s="10">
        <f>(D39+F39+H39)</f>
        <v>4.9125</v>
      </c>
      <c r="K39" s="17">
        <f>K38</f>
        <v>496</v>
      </c>
      <c r="L39" s="18">
        <f t="shared" si="2"/>
        <v>2436.6</v>
      </c>
      <c r="M39" s="21">
        <v>957.8</v>
      </c>
      <c r="N39" s="21">
        <f t="shared" si="3"/>
        <v>3394.3999999999996</v>
      </c>
    </row>
    <row r="40" spans="1:14" ht="12.75">
      <c r="A40" s="7"/>
      <c r="B40" s="5" t="s">
        <v>155</v>
      </c>
      <c r="C40" s="10">
        <v>26318.1</v>
      </c>
      <c r="D40" s="10">
        <f>C40/I40</f>
        <v>53.06068548387096</v>
      </c>
      <c r="E40" s="10"/>
      <c r="F40" s="10"/>
      <c r="G40" s="10">
        <f>28814.2-C40-E40-M40</f>
        <v>2496.100000000002</v>
      </c>
      <c r="H40" s="10">
        <f>G40/I40</f>
        <v>5.032459677419359</v>
      </c>
      <c r="I40" s="73">
        <f t="shared" si="1"/>
        <v>496</v>
      </c>
      <c r="J40" s="10">
        <f>(D40+F40+H40)</f>
        <v>58.09314516129032</v>
      </c>
      <c r="K40" s="17">
        <f>K38</f>
        <v>496</v>
      </c>
      <c r="L40" s="18">
        <f t="shared" si="2"/>
        <v>28814.2</v>
      </c>
      <c r="M40" s="21"/>
      <c r="N40" s="21">
        <f t="shared" si="3"/>
        <v>28814.2</v>
      </c>
    </row>
    <row r="41" spans="1:14" ht="12.75">
      <c r="A41" s="7">
        <v>9</v>
      </c>
      <c r="B41" s="5" t="s">
        <v>17</v>
      </c>
      <c r="C41" s="9">
        <f aca="true" t="shared" si="11" ref="C41:H41">C42+C43</f>
        <v>23235.100000000002</v>
      </c>
      <c r="D41" s="9">
        <f t="shared" si="11"/>
        <v>38.59651162790698</v>
      </c>
      <c r="E41" s="9">
        <f t="shared" si="11"/>
        <v>938.8</v>
      </c>
      <c r="F41" s="9">
        <f t="shared" si="11"/>
        <v>1.5594684385382058</v>
      </c>
      <c r="G41" s="9">
        <f t="shared" si="11"/>
        <v>4148.9</v>
      </c>
      <c r="H41" s="9">
        <f t="shared" si="11"/>
        <v>6.891860465116279</v>
      </c>
      <c r="I41" s="28">
        <f t="shared" si="1"/>
        <v>602</v>
      </c>
      <c r="J41" s="9">
        <f>J42+J43</f>
        <v>47.04784053156146</v>
      </c>
      <c r="K41" s="74">
        <v>602</v>
      </c>
      <c r="L41" s="9">
        <f t="shared" si="2"/>
        <v>28322.8</v>
      </c>
      <c r="M41" s="19">
        <f>M42</f>
        <v>860.5</v>
      </c>
      <c r="N41" s="19">
        <f t="shared" si="3"/>
        <v>29183.3</v>
      </c>
    </row>
    <row r="42" spans="1:14" ht="12.75">
      <c r="A42" s="7"/>
      <c r="B42" s="5" t="s">
        <v>7</v>
      </c>
      <c r="C42" s="5">
        <v>1032.4</v>
      </c>
      <c r="D42" s="10">
        <f>C42/I42</f>
        <v>1.714950166112957</v>
      </c>
      <c r="E42" s="10">
        <f>1854.6-715.8-200</f>
        <v>938.8</v>
      </c>
      <c r="F42" s="10">
        <f>E42/K42</f>
        <v>1.5594684385382058</v>
      </c>
      <c r="G42" s="10">
        <f>3723.6+24-200-C42-E42-M42</f>
        <v>715.8999999999999</v>
      </c>
      <c r="H42" s="10">
        <f>G42/I42</f>
        <v>1.1892026578073087</v>
      </c>
      <c r="I42" s="73">
        <f t="shared" si="1"/>
        <v>602</v>
      </c>
      <c r="J42" s="10">
        <f>(D42+F42+H42)</f>
        <v>4.463621262458472</v>
      </c>
      <c r="K42" s="17">
        <f>K41</f>
        <v>602</v>
      </c>
      <c r="L42" s="18">
        <f t="shared" si="2"/>
        <v>2687.1</v>
      </c>
      <c r="M42" s="21">
        <v>860.5</v>
      </c>
      <c r="N42" s="21">
        <f t="shared" si="3"/>
        <v>3547.6</v>
      </c>
    </row>
    <row r="43" spans="1:14" ht="12.75">
      <c r="A43" s="7"/>
      <c r="B43" s="5" t="s">
        <v>155</v>
      </c>
      <c r="C43" s="10">
        <v>22202.7</v>
      </c>
      <c r="D43" s="10">
        <f>C43/I43</f>
        <v>36.88156146179402</v>
      </c>
      <c r="E43" s="10"/>
      <c r="F43" s="10"/>
      <c r="G43" s="10">
        <f>25483.7+152-C43-E43-M43</f>
        <v>3433</v>
      </c>
      <c r="H43" s="10">
        <f>G43/I43</f>
        <v>5.70265780730897</v>
      </c>
      <c r="I43" s="73">
        <f t="shared" si="1"/>
        <v>602</v>
      </c>
      <c r="J43" s="10">
        <f>(D43+F43+H43)</f>
        <v>42.58421926910299</v>
      </c>
      <c r="K43" s="17">
        <f>K41</f>
        <v>602</v>
      </c>
      <c r="L43" s="18">
        <f t="shared" si="2"/>
        <v>25635.699999999997</v>
      </c>
      <c r="M43" s="21"/>
      <c r="N43" s="21">
        <f t="shared" si="3"/>
        <v>25635.699999999997</v>
      </c>
    </row>
    <row r="44" spans="1:14" ht="12.75">
      <c r="A44" s="7">
        <v>10</v>
      </c>
      <c r="B44" s="5" t="s">
        <v>18</v>
      </c>
      <c r="C44" s="9">
        <f aca="true" t="shared" si="12" ref="C44:H44">C45+C46</f>
        <v>20396.2</v>
      </c>
      <c r="D44" s="9">
        <f t="shared" si="12"/>
        <v>80.93730158730158</v>
      </c>
      <c r="E44" s="9">
        <f t="shared" si="12"/>
        <v>607.6</v>
      </c>
      <c r="F44" s="9">
        <f t="shared" si="12"/>
        <v>2.411111111111111</v>
      </c>
      <c r="G44" s="9">
        <f t="shared" si="12"/>
        <v>2112.8000000000015</v>
      </c>
      <c r="H44" s="9">
        <f t="shared" si="12"/>
        <v>8.38412698412699</v>
      </c>
      <c r="I44" s="28">
        <f t="shared" si="1"/>
        <v>252</v>
      </c>
      <c r="J44" s="9">
        <f>J45+J46</f>
        <v>91.73253968253968</v>
      </c>
      <c r="K44" s="74">
        <v>252</v>
      </c>
      <c r="L44" s="9">
        <f t="shared" si="2"/>
        <v>23116.6</v>
      </c>
      <c r="M44" s="19">
        <f>M45</f>
        <v>609.9</v>
      </c>
      <c r="N44" s="19">
        <f t="shared" si="3"/>
        <v>23726.5</v>
      </c>
    </row>
    <row r="45" spans="1:14" ht="12.75">
      <c r="A45" s="7"/>
      <c r="B45" s="5" t="s">
        <v>7</v>
      </c>
      <c r="C45" s="5">
        <v>401.9</v>
      </c>
      <c r="D45" s="10">
        <f>C45/I45</f>
        <v>1.5948412698412697</v>
      </c>
      <c r="E45" s="10">
        <f>1198.5-590.9</f>
        <v>607.6</v>
      </c>
      <c r="F45" s="10">
        <f>E45/K45</f>
        <v>2.411111111111111</v>
      </c>
      <c r="G45" s="10">
        <f>2308.3+8-C45-E45-M45</f>
        <v>696.9000000000002</v>
      </c>
      <c r="H45" s="10">
        <f>G45/I45</f>
        <v>2.7654761904761913</v>
      </c>
      <c r="I45" s="73">
        <f t="shared" si="1"/>
        <v>252</v>
      </c>
      <c r="J45" s="10">
        <f>(D45+F45+H45)</f>
        <v>6.771428571428572</v>
      </c>
      <c r="K45" s="17">
        <f>K44</f>
        <v>252</v>
      </c>
      <c r="L45" s="18">
        <f t="shared" si="2"/>
        <v>1706.4</v>
      </c>
      <c r="M45" s="21">
        <v>609.9</v>
      </c>
      <c r="N45" s="21">
        <f t="shared" si="3"/>
        <v>2316.3</v>
      </c>
    </row>
    <row r="46" spans="1:14" ht="12.75">
      <c r="A46" s="7"/>
      <c r="B46" s="5" t="s">
        <v>155</v>
      </c>
      <c r="C46" s="10">
        <v>19994.3</v>
      </c>
      <c r="D46" s="10">
        <f>C46/I46</f>
        <v>79.34246031746031</v>
      </c>
      <c r="E46" s="10"/>
      <c r="F46" s="10"/>
      <c r="G46" s="10">
        <f>21334.2+76-C46-E46-M46</f>
        <v>1415.9000000000015</v>
      </c>
      <c r="H46" s="10">
        <f>G46/I46</f>
        <v>5.618650793650799</v>
      </c>
      <c r="I46" s="73">
        <f t="shared" si="1"/>
        <v>252</v>
      </c>
      <c r="J46" s="10">
        <f>(D46+F46+H46)</f>
        <v>84.96111111111111</v>
      </c>
      <c r="K46" s="17">
        <f>K44</f>
        <v>252</v>
      </c>
      <c r="L46" s="18">
        <f t="shared" si="2"/>
        <v>21410.2</v>
      </c>
      <c r="M46" s="21"/>
      <c r="N46" s="21">
        <f t="shared" si="3"/>
        <v>21410.2</v>
      </c>
    </row>
    <row r="47" spans="1:14" ht="12.75">
      <c r="A47" s="7">
        <v>11</v>
      </c>
      <c r="B47" s="5" t="s">
        <v>19</v>
      </c>
      <c r="C47" s="9">
        <f aca="true" t="shared" si="13" ref="C47:H47">C48+C49</f>
        <v>49890.299999999996</v>
      </c>
      <c r="D47" s="9">
        <f t="shared" si="13"/>
        <v>44.74466367713004</v>
      </c>
      <c r="E47" s="9">
        <f t="shared" si="13"/>
        <v>975.6999999999999</v>
      </c>
      <c r="F47" s="9">
        <f t="shared" si="13"/>
        <v>0.875067264573991</v>
      </c>
      <c r="G47" s="9">
        <f t="shared" si="13"/>
        <v>7139.700000000002</v>
      </c>
      <c r="H47" s="9">
        <f t="shared" si="13"/>
        <v>6.403318385650225</v>
      </c>
      <c r="I47" s="28">
        <f t="shared" si="1"/>
        <v>1115</v>
      </c>
      <c r="J47" s="9">
        <f>J48+J49</f>
        <v>52.02304932735426</v>
      </c>
      <c r="K47" s="74">
        <v>1115</v>
      </c>
      <c r="L47" s="9">
        <f t="shared" si="2"/>
        <v>58005.7</v>
      </c>
      <c r="M47" s="19">
        <f>M48</f>
        <v>841.5</v>
      </c>
      <c r="N47" s="19">
        <f t="shared" si="3"/>
        <v>58847.2</v>
      </c>
    </row>
    <row r="48" spans="1:14" ht="12.75">
      <c r="A48" s="7"/>
      <c r="B48" s="5" t="s">
        <v>7</v>
      </c>
      <c r="C48" s="5">
        <v>669.7</v>
      </c>
      <c r="D48" s="10">
        <f>C48/I48</f>
        <v>0.600627802690583</v>
      </c>
      <c r="E48" s="10">
        <f>1720.6-744.9</f>
        <v>975.6999999999999</v>
      </c>
      <c r="F48" s="10">
        <f>E48/K48</f>
        <v>0.875067264573991</v>
      </c>
      <c r="G48" s="10">
        <f>3957.2+20-C48-E48-M48</f>
        <v>1490.3000000000002</v>
      </c>
      <c r="H48" s="10">
        <f>G48/I48</f>
        <v>1.3365919282511212</v>
      </c>
      <c r="I48" s="73">
        <f t="shared" si="1"/>
        <v>1115</v>
      </c>
      <c r="J48" s="10">
        <f>(D48+F48+H48)</f>
        <v>2.812286995515695</v>
      </c>
      <c r="K48" s="17">
        <f>K47</f>
        <v>1115</v>
      </c>
      <c r="L48" s="18">
        <f t="shared" si="2"/>
        <v>3135.7</v>
      </c>
      <c r="M48" s="21">
        <v>841.5</v>
      </c>
      <c r="N48" s="21">
        <f t="shared" si="3"/>
        <v>3977.2</v>
      </c>
    </row>
    <row r="49" spans="1:14" ht="12.75">
      <c r="A49" s="7"/>
      <c r="B49" s="5" t="s">
        <v>155</v>
      </c>
      <c r="C49" s="10">
        <v>49220.6</v>
      </c>
      <c r="D49" s="10">
        <f>C49/I49</f>
        <v>44.14403587443946</v>
      </c>
      <c r="E49" s="10"/>
      <c r="F49" s="10"/>
      <c r="G49" s="10">
        <f>54718+152-C49-E49-M49</f>
        <v>5649.4000000000015</v>
      </c>
      <c r="H49" s="10">
        <f>G49/I49</f>
        <v>5.066726457399104</v>
      </c>
      <c r="I49" s="73">
        <f t="shared" si="1"/>
        <v>1115</v>
      </c>
      <c r="J49" s="10">
        <f>(D49+F49+H49)</f>
        <v>49.210762331838566</v>
      </c>
      <c r="K49" s="17">
        <f>K47</f>
        <v>1115</v>
      </c>
      <c r="L49" s="18">
        <f t="shared" si="2"/>
        <v>54870</v>
      </c>
      <c r="M49" s="21"/>
      <c r="N49" s="21">
        <f t="shared" si="3"/>
        <v>54870</v>
      </c>
    </row>
    <row r="50" spans="1:14" ht="12.75">
      <c r="A50" s="7">
        <v>12</v>
      </c>
      <c r="B50" s="5" t="s">
        <v>20</v>
      </c>
      <c r="C50" s="9">
        <f aca="true" t="shared" si="14" ref="C50:H50">C51+C52</f>
        <v>13761.1</v>
      </c>
      <c r="D50" s="9">
        <f t="shared" si="14"/>
        <v>52.52328244274809</v>
      </c>
      <c r="E50" s="9">
        <f t="shared" si="14"/>
        <v>565.2</v>
      </c>
      <c r="F50" s="9">
        <f t="shared" si="14"/>
        <v>2.1572519083969466</v>
      </c>
      <c r="G50" s="9">
        <f t="shared" si="14"/>
        <v>2056.9</v>
      </c>
      <c r="H50" s="9">
        <f t="shared" si="14"/>
        <v>7.850763358778625</v>
      </c>
      <c r="I50" s="28">
        <f t="shared" si="1"/>
        <v>262</v>
      </c>
      <c r="J50" s="9">
        <f>J51+J52</f>
        <v>62.531297709923656</v>
      </c>
      <c r="K50" s="74">
        <v>262</v>
      </c>
      <c r="L50" s="9">
        <f t="shared" si="2"/>
        <v>16383.199999999997</v>
      </c>
      <c r="M50" s="19">
        <f>M51</f>
        <v>506.9</v>
      </c>
      <c r="N50" s="19">
        <f t="shared" si="3"/>
        <v>16890.1</v>
      </c>
    </row>
    <row r="51" spans="1:14" ht="12.75">
      <c r="A51" s="7"/>
      <c r="B51" s="5" t="s">
        <v>7</v>
      </c>
      <c r="C51" s="5">
        <v>163.7</v>
      </c>
      <c r="D51" s="10">
        <f>C51/I51</f>
        <v>0.6248091603053435</v>
      </c>
      <c r="E51" s="10">
        <f>952.1-386.9</f>
        <v>565.2</v>
      </c>
      <c r="F51" s="10">
        <f>E51/K51</f>
        <v>2.1572519083969466</v>
      </c>
      <c r="G51" s="10">
        <f>1697.2-C51-E51-M51</f>
        <v>461.4</v>
      </c>
      <c r="H51" s="10">
        <f>G51/I51</f>
        <v>1.7610687022900762</v>
      </c>
      <c r="I51" s="73">
        <f t="shared" si="1"/>
        <v>262</v>
      </c>
      <c r="J51" s="10">
        <f>(D51+F51+H51)</f>
        <v>4.543129770992366</v>
      </c>
      <c r="K51" s="17">
        <f>K50</f>
        <v>262</v>
      </c>
      <c r="L51" s="18">
        <f t="shared" si="2"/>
        <v>1190.3</v>
      </c>
      <c r="M51" s="21">
        <v>506.9</v>
      </c>
      <c r="N51" s="21">
        <f t="shared" si="3"/>
        <v>1697.1999999999998</v>
      </c>
    </row>
    <row r="52" spans="1:14" ht="12.75">
      <c r="A52" s="7"/>
      <c r="B52" s="5" t="s">
        <v>155</v>
      </c>
      <c r="C52" s="5">
        <v>13597.4</v>
      </c>
      <c r="D52" s="10">
        <f>C52/I52</f>
        <v>51.898473282442744</v>
      </c>
      <c r="E52" s="10"/>
      <c r="F52" s="10"/>
      <c r="G52" s="10">
        <f>15116.9+76-C52-E52-M52</f>
        <v>1595.5</v>
      </c>
      <c r="H52" s="10">
        <f>G52/I52</f>
        <v>6.0896946564885495</v>
      </c>
      <c r="I52" s="73">
        <f t="shared" si="1"/>
        <v>262</v>
      </c>
      <c r="J52" s="10">
        <f>(D52+F52+H52)</f>
        <v>57.98816793893129</v>
      </c>
      <c r="K52" s="17">
        <f>K50</f>
        <v>262</v>
      </c>
      <c r="L52" s="18">
        <f t="shared" si="2"/>
        <v>15192.899999999998</v>
      </c>
      <c r="M52" s="19"/>
      <c r="N52" s="21">
        <f t="shared" si="3"/>
        <v>15192.899999999998</v>
      </c>
    </row>
    <row r="53" spans="1:14" ht="12.75">
      <c r="A53" s="7">
        <v>13</v>
      </c>
      <c r="B53" s="5" t="s">
        <v>21</v>
      </c>
      <c r="C53" s="9">
        <f aca="true" t="shared" si="15" ref="C53:H53">C54+C55</f>
        <v>52014</v>
      </c>
      <c r="D53" s="9">
        <f t="shared" si="15"/>
        <v>46.73315363881402</v>
      </c>
      <c r="E53" s="9">
        <f t="shared" si="15"/>
        <v>1060.4</v>
      </c>
      <c r="F53" s="9">
        <f t="shared" si="15"/>
        <v>0.9527403414195867</v>
      </c>
      <c r="G53" s="9">
        <f t="shared" si="15"/>
        <v>7894.0999999999985</v>
      </c>
      <c r="H53" s="9">
        <f t="shared" si="15"/>
        <v>7.092632524707994</v>
      </c>
      <c r="I53" s="28">
        <f t="shared" si="1"/>
        <v>1113</v>
      </c>
      <c r="J53" s="9">
        <f>J54+J55</f>
        <v>54.778526504941595</v>
      </c>
      <c r="K53" s="74">
        <v>1113</v>
      </c>
      <c r="L53" s="9">
        <f t="shared" si="2"/>
        <v>60968.49999999999</v>
      </c>
      <c r="M53" s="19">
        <f>M54</f>
        <v>1195.5</v>
      </c>
      <c r="N53" s="19">
        <f t="shared" si="3"/>
        <v>62163.99999999999</v>
      </c>
    </row>
    <row r="54" spans="1:14" ht="12.75">
      <c r="A54" s="7"/>
      <c r="B54" s="5" t="s">
        <v>7</v>
      </c>
      <c r="C54" s="5">
        <v>734.1</v>
      </c>
      <c r="D54" s="10">
        <f>C54/I54</f>
        <v>0.6595687331536388</v>
      </c>
      <c r="E54" s="10">
        <f>2175.4-1115</f>
        <v>1060.4</v>
      </c>
      <c r="F54" s="10">
        <f>E54/K54</f>
        <v>0.9527403414195867</v>
      </c>
      <c r="G54" s="10">
        <f>5403.5+25.5-C54-E54-M54</f>
        <v>2438.9999999999995</v>
      </c>
      <c r="H54" s="10">
        <f>G54/I54</f>
        <v>2.191374663072776</v>
      </c>
      <c r="I54" s="73">
        <f t="shared" si="1"/>
        <v>1113</v>
      </c>
      <c r="J54" s="10">
        <f>(D54+F54+H54)</f>
        <v>3.8036837376460015</v>
      </c>
      <c r="K54" s="17">
        <f>K53</f>
        <v>1113</v>
      </c>
      <c r="L54" s="18">
        <f t="shared" si="2"/>
        <v>4233.5</v>
      </c>
      <c r="M54" s="21">
        <v>1195.5</v>
      </c>
      <c r="N54" s="21">
        <f t="shared" si="3"/>
        <v>5429</v>
      </c>
    </row>
    <row r="55" spans="1:14" ht="12.75">
      <c r="A55" s="7"/>
      <c r="B55" s="5" t="s">
        <v>155</v>
      </c>
      <c r="C55" s="5">
        <v>51279.9</v>
      </c>
      <c r="D55" s="10">
        <f>C55/I55</f>
        <v>46.073584905660375</v>
      </c>
      <c r="E55" s="10"/>
      <c r="F55" s="10"/>
      <c r="G55" s="10">
        <f>56598.2+136.8-C55-E55-M55</f>
        <v>5455.0999999999985</v>
      </c>
      <c r="H55" s="10">
        <f>G55/I55</f>
        <v>4.9012578616352185</v>
      </c>
      <c r="I55" s="73">
        <f t="shared" si="1"/>
        <v>1113</v>
      </c>
      <c r="J55" s="10">
        <f>(D55+F55+H55)</f>
        <v>50.97484276729559</v>
      </c>
      <c r="K55" s="17">
        <f>K53</f>
        <v>1113</v>
      </c>
      <c r="L55" s="18">
        <f t="shared" si="2"/>
        <v>56734.99999999999</v>
      </c>
      <c r="M55" s="19"/>
      <c r="N55" s="21">
        <f t="shared" si="3"/>
        <v>56734.99999999999</v>
      </c>
    </row>
    <row r="56" spans="1:14" ht="12.75">
      <c r="A56" s="7">
        <v>14</v>
      </c>
      <c r="B56" s="5" t="s">
        <v>23</v>
      </c>
      <c r="C56" s="9">
        <f aca="true" t="shared" si="16" ref="C56:H56">C57+C58</f>
        <v>20453.4</v>
      </c>
      <c r="D56" s="9">
        <f t="shared" si="16"/>
        <v>51.780759493670885</v>
      </c>
      <c r="E56" s="9">
        <f t="shared" si="16"/>
        <v>1127.1</v>
      </c>
      <c r="F56" s="9">
        <f t="shared" si="16"/>
        <v>2.853417721518987</v>
      </c>
      <c r="G56" s="9">
        <f t="shared" si="16"/>
        <v>2459.3999999999987</v>
      </c>
      <c r="H56" s="9">
        <f t="shared" si="16"/>
        <v>6.226329113924048</v>
      </c>
      <c r="I56" s="28">
        <f t="shared" si="1"/>
        <v>395</v>
      </c>
      <c r="J56" s="9">
        <f>J57+J58</f>
        <v>60.86050632911392</v>
      </c>
      <c r="K56" s="74">
        <v>395</v>
      </c>
      <c r="L56" s="9">
        <f t="shared" si="2"/>
        <v>24039.899999999998</v>
      </c>
      <c r="M56" s="19">
        <f>M57</f>
        <v>746.2</v>
      </c>
      <c r="N56" s="19">
        <f t="shared" si="3"/>
        <v>24786.1</v>
      </c>
    </row>
    <row r="57" spans="1:14" ht="12.75">
      <c r="A57" s="7"/>
      <c r="B57" s="5" t="s">
        <v>7</v>
      </c>
      <c r="C57" s="5">
        <v>18.2</v>
      </c>
      <c r="D57" s="10">
        <f>C57/I57</f>
        <v>0.04607594936708861</v>
      </c>
      <c r="E57" s="10">
        <f>1761.6-634.5</f>
        <v>1127.1</v>
      </c>
      <c r="F57" s="10">
        <f>E57/K57</f>
        <v>2.853417721518987</v>
      </c>
      <c r="G57" s="10">
        <f>2367.8+10-C57-E57-M57</f>
        <v>486.3000000000004</v>
      </c>
      <c r="H57" s="10">
        <f>G57/I57</f>
        <v>1.2311392405063302</v>
      </c>
      <c r="I57" s="73">
        <f t="shared" si="1"/>
        <v>395</v>
      </c>
      <c r="J57" s="10">
        <f>(D57+F57+H57)</f>
        <v>4.130632911392405</v>
      </c>
      <c r="K57" s="17">
        <f>K56</f>
        <v>395</v>
      </c>
      <c r="L57" s="18">
        <f t="shared" si="2"/>
        <v>1631.6000000000001</v>
      </c>
      <c r="M57" s="21">
        <v>746.2</v>
      </c>
      <c r="N57" s="21">
        <f t="shared" si="3"/>
        <v>2377.8</v>
      </c>
    </row>
    <row r="58" spans="1:14" ht="12.75">
      <c r="A58" s="7"/>
      <c r="B58" s="5" t="s">
        <v>155</v>
      </c>
      <c r="C58" s="5">
        <v>20435.2</v>
      </c>
      <c r="D58" s="10">
        <f>C58/I58</f>
        <v>51.7346835443038</v>
      </c>
      <c r="E58" s="10"/>
      <c r="F58" s="10"/>
      <c r="G58" s="10">
        <f>22356.6+51.7-C58-E58-M58</f>
        <v>1973.0999999999985</v>
      </c>
      <c r="H58" s="10">
        <f>G58/I58</f>
        <v>4.995189873417718</v>
      </c>
      <c r="I58" s="73">
        <f t="shared" si="1"/>
        <v>395</v>
      </c>
      <c r="J58" s="10">
        <f>(D58+F58+H58)</f>
        <v>56.729873417721514</v>
      </c>
      <c r="K58" s="17">
        <f>K56</f>
        <v>395</v>
      </c>
      <c r="L58" s="18">
        <f t="shared" si="2"/>
        <v>22408.3</v>
      </c>
      <c r="M58" s="21"/>
      <c r="N58" s="21">
        <f t="shared" si="3"/>
        <v>22408.3</v>
      </c>
    </row>
    <row r="59" spans="1:14" ht="12.75">
      <c r="A59" s="7">
        <v>15</v>
      </c>
      <c r="B59" s="5" t="s">
        <v>22</v>
      </c>
      <c r="C59" s="9">
        <f aca="true" t="shared" si="17" ref="C59:H59">C60+C61</f>
        <v>40821.304000000004</v>
      </c>
      <c r="D59" s="9">
        <f t="shared" si="17"/>
        <v>52.26799487836107</v>
      </c>
      <c r="E59" s="9">
        <f t="shared" si="17"/>
        <v>971.5999999999999</v>
      </c>
      <c r="F59" s="9">
        <f t="shared" si="17"/>
        <v>1.24404609475032</v>
      </c>
      <c r="G59" s="9">
        <f t="shared" si="17"/>
        <v>5152.195999999999</v>
      </c>
      <c r="H59" s="9">
        <f t="shared" si="17"/>
        <v>6.596921895006401</v>
      </c>
      <c r="I59" s="28">
        <f t="shared" si="1"/>
        <v>781</v>
      </c>
      <c r="J59" s="9">
        <f>J60+J61</f>
        <v>60.1089628681178</v>
      </c>
      <c r="K59" s="74">
        <v>781</v>
      </c>
      <c r="L59" s="9">
        <f t="shared" si="2"/>
        <v>46945.1</v>
      </c>
      <c r="M59" s="19">
        <f>M60</f>
        <v>1036.5</v>
      </c>
      <c r="N59" s="19">
        <f t="shared" si="3"/>
        <v>47981.6</v>
      </c>
    </row>
    <row r="60" spans="1:14" ht="12.75">
      <c r="A60" s="7"/>
      <c r="B60" s="5" t="s">
        <v>7</v>
      </c>
      <c r="C60" s="5">
        <v>0.004</v>
      </c>
      <c r="D60" s="10">
        <f>C60/I60</f>
        <v>5.121638924455826E-06</v>
      </c>
      <c r="E60" s="10">
        <f>1878.1-906.5</f>
        <v>971.5999999999999</v>
      </c>
      <c r="F60" s="10">
        <f>E60/K60</f>
        <v>1.24404609475032</v>
      </c>
      <c r="G60" s="10">
        <f>3258.8+6.9-C60-E60-M60</f>
        <v>1257.5960000000005</v>
      </c>
      <c r="H60" s="10">
        <f>G60/I60</f>
        <v>1.610238156209988</v>
      </c>
      <c r="I60" s="73">
        <f t="shared" si="1"/>
        <v>781</v>
      </c>
      <c r="J60" s="10">
        <f>(D60+F60+H60)</f>
        <v>2.8542893725992324</v>
      </c>
      <c r="K60" s="17">
        <f>K59</f>
        <v>781</v>
      </c>
      <c r="L60" s="18">
        <f t="shared" si="2"/>
        <v>2229.2000000000007</v>
      </c>
      <c r="M60" s="21">
        <v>1036.5</v>
      </c>
      <c r="N60" s="21">
        <f t="shared" si="3"/>
        <v>3265.7000000000007</v>
      </c>
    </row>
    <row r="61" spans="1:14" ht="12.75">
      <c r="A61" s="7"/>
      <c r="B61" s="5" t="s">
        <v>155</v>
      </c>
      <c r="C61" s="5">
        <v>40821.3</v>
      </c>
      <c r="D61" s="10">
        <f>C61/I61</f>
        <v>52.26798975672215</v>
      </c>
      <c r="E61" s="10"/>
      <c r="F61" s="10"/>
      <c r="G61" s="10">
        <f>44594.3+121.6-C61-E61-M61</f>
        <v>3894.5999999999985</v>
      </c>
      <c r="H61" s="10">
        <f>G61/I61</f>
        <v>4.986683738796413</v>
      </c>
      <c r="I61" s="73">
        <f t="shared" si="1"/>
        <v>781</v>
      </c>
      <c r="J61" s="10">
        <f>(D61+F61+H61)</f>
        <v>57.25467349551857</v>
      </c>
      <c r="K61" s="17">
        <f>K59</f>
        <v>781</v>
      </c>
      <c r="L61" s="18">
        <f t="shared" si="2"/>
        <v>44715.9</v>
      </c>
      <c r="M61" s="21"/>
      <c r="N61" s="21">
        <f t="shared" si="3"/>
        <v>44715.9</v>
      </c>
    </row>
    <row r="62" spans="1:14" ht="12.75">
      <c r="A62" s="7">
        <v>16</v>
      </c>
      <c r="B62" s="5" t="s">
        <v>24</v>
      </c>
      <c r="C62" s="9">
        <f aca="true" t="shared" si="18" ref="C62:H62">C63+C64</f>
        <v>12663.4</v>
      </c>
      <c r="D62" s="9">
        <f t="shared" si="18"/>
        <v>73.62441860465115</v>
      </c>
      <c r="E62" s="9">
        <f t="shared" si="18"/>
        <v>1567.3</v>
      </c>
      <c r="F62" s="9">
        <f t="shared" si="18"/>
        <v>9.112209302325581</v>
      </c>
      <c r="G62" s="9">
        <f t="shared" si="18"/>
        <v>1327.4000000000005</v>
      </c>
      <c r="H62" s="9">
        <f t="shared" si="18"/>
        <v>7.717441860465119</v>
      </c>
      <c r="I62" s="28">
        <f t="shared" si="1"/>
        <v>172</v>
      </c>
      <c r="J62" s="9">
        <f>J63+J64</f>
        <v>90.45406976744187</v>
      </c>
      <c r="K62" s="74">
        <v>172</v>
      </c>
      <c r="L62" s="9">
        <f t="shared" si="2"/>
        <v>15558.1</v>
      </c>
      <c r="M62" s="19">
        <f>M63</f>
        <v>1168.2</v>
      </c>
      <c r="N62" s="19">
        <f t="shared" si="3"/>
        <v>16726.3</v>
      </c>
    </row>
    <row r="63" spans="1:14" ht="12.75">
      <c r="A63" s="7"/>
      <c r="B63" s="5" t="s">
        <v>7</v>
      </c>
      <c r="C63" s="5">
        <v>318.4</v>
      </c>
      <c r="D63" s="10">
        <f>C63/I63</f>
        <v>1.8511627906976742</v>
      </c>
      <c r="E63" s="10">
        <f>2545.5-978.2</f>
        <v>1567.3</v>
      </c>
      <c r="F63" s="10">
        <f>E63/K63</f>
        <v>9.112209302325581</v>
      </c>
      <c r="G63" s="10">
        <f>3480.2+14.4-C63-E63-M63</f>
        <v>440.6999999999998</v>
      </c>
      <c r="H63" s="10">
        <f>G63/I63</f>
        <v>2.5622093023255803</v>
      </c>
      <c r="I63" s="73">
        <f t="shared" si="1"/>
        <v>172</v>
      </c>
      <c r="J63" s="10">
        <f>(D63+F63+H63)</f>
        <v>13.525581395348837</v>
      </c>
      <c r="K63" s="17">
        <f>K62</f>
        <v>172</v>
      </c>
      <c r="L63" s="18">
        <f t="shared" si="2"/>
        <v>2326.4</v>
      </c>
      <c r="M63" s="21">
        <v>1168.2</v>
      </c>
      <c r="N63" s="21">
        <f t="shared" si="3"/>
        <v>3494.6000000000004</v>
      </c>
    </row>
    <row r="64" spans="1:14" ht="12.75">
      <c r="A64" s="7"/>
      <c r="B64" s="5" t="s">
        <v>155</v>
      </c>
      <c r="C64" s="5">
        <v>12345</v>
      </c>
      <c r="D64" s="10">
        <f>C64/I64</f>
        <v>71.77325581395348</v>
      </c>
      <c r="E64" s="10"/>
      <c r="F64" s="10"/>
      <c r="G64" s="10">
        <f>13183.1+48.6-C64-E64-M64</f>
        <v>886.7000000000007</v>
      </c>
      <c r="H64" s="10">
        <f>G64/I64</f>
        <v>5.155232558139539</v>
      </c>
      <c r="I64" s="73">
        <f t="shared" si="1"/>
        <v>172</v>
      </c>
      <c r="J64" s="10">
        <f>(D64+F64+H64)</f>
        <v>76.92848837209303</v>
      </c>
      <c r="K64" s="17">
        <f>K62</f>
        <v>172</v>
      </c>
      <c r="L64" s="18">
        <f t="shared" si="2"/>
        <v>13231.7</v>
      </c>
      <c r="M64" s="21"/>
      <c r="N64" s="21">
        <f t="shared" si="3"/>
        <v>13231.7</v>
      </c>
    </row>
    <row r="65" spans="1:14" ht="12.75">
      <c r="A65" s="7">
        <v>17</v>
      </c>
      <c r="B65" s="5" t="s">
        <v>25</v>
      </c>
      <c r="C65" s="9">
        <f aca="true" t="shared" si="19" ref="C65:H65">C66+C67</f>
        <v>45760.799999999996</v>
      </c>
      <c r="D65" s="9">
        <f t="shared" si="19"/>
        <v>51.18657718120805</v>
      </c>
      <c r="E65" s="9">
        <f t="shared" si="19"/>
        <v>1778.4</v>
      </c>
      <c r="F65" s="9">
        <f t="shared" si="19"/>
        <v>1.9892617449664431</v>
      </c>
      <c r="G65" s="9">
        <f t="shared" si="19"/>
        <v>4758.9000000000015</v>
      </c>
      <c r="H65" s="9">
        <f t="shared" si="19"/>
        <v>5.323154362416109</v>
      </c>
      <c r="I65" s="28">
        <f t="shared" si="1"/>
        <v>894</v>
      </c>
      <c r="J65" s="9">
        <f>J66+J67</f>
        <v>58.4989932885906</v>
      </c>
      <c r="K65" s="74">
        <v>894</v>
      </c>
      <c r="L65" s="9">
        <f t="shared" si="2"/>
        <v>52298.09999999999</v>
      </c>
      <c r="M65" s="19">
        <f>M66</f>
        <v>1246</v>
      </c>
      <c r="N65" s="19">
        <f t="shared" si="3"/>
        <v>53544.09999999999</v>
      </c>
    </row>
    <row r="66" spans="1:14" ht="12.75">
      <c r="A66" s="7"/>
      <c r="B66" s="5" t="s">
        <v>7</v>
      </c>
      <c r="C66" s="5">
        <v>575.1</v>
      </c>
      <c r="D66" s="10">
        <f>C66/I66</f>
        <v>0.6432885906040269</v>
      </c>
      <c r="E66" s="10">
        <f>2664.4-886</f>
        <v>1778.4</v>
      </c>
      <c r="F66" s="10">
        <f>E66/K66</f>
        <v>1.9892617449664431</v>
      </c>
      <c r="G66" s="10">
        <f>4474.5-C66-E66-M66</f>
        <v>875</v>
      </c>
      <c r="H66" s="10">
        <f>G66/I66</f>
        <v>0.9787472035794184</v>
      </c>
      <c r="I66" s="73">
        <f t="shared" si="1"/>
        <v>894</v>
      </c>
      <c r="J66" s="10">
        <f>(D66+F66+H66)</f>
        <v>3.6112975391498887</v>
      </c>
      <c r="K66" s="17">
        <f>K65</f>
        <v>894</v>
      </c>
      <c r="L66" s="18">
        <f t="shared" si="2"/>
        <v>3228.5000000000005</v>
      </c>
      <c r="M66" s="21">
        <v>1246</v>
      </c>
      <c r="N66" s="21">
        <f t="shared" si="3"/>
        <v>4474.5</v>
      </c>
    </row>
    <row r="67" spans="1:14" ht="12.75">
      <c r="A67" s="7"/>
      <c r="B67" s="5" t="s">
        <v>155</v>
      </c>
      <c r="C67" s="5">
        <v>45185.7</v>
      </c>
      <c r="D67" s="10">
        <f>C67/I67</f>
        <v>50.54328859060402</v>
      </c>
      <c r="E67" s="10"/>
      <c r="F67" s="10"/>
      <c r="G67" s="10">
        <f>49069.6-C67-E67-M67</f>
        <v>3883.9000000000015</v>
      </c>
      <c r="H67" s="10">
        <f>G67/I67</f>
        <v>4.344407158836691</v>
      </c>
      <c r="I67" s="73">
        <f t="shared" si="1"/>
        <v>894</v>
      </c>
      <c r="J67" s="10">
        <f>(D67+F67+H67)</f>
        <v>54.88769574944071</v>
      </c>
      <c r="K67" s="17">
        <f>K65</f>
        <v>894</v>
      </c>
      <c r="L67" s="18">
        <f t="shared" si="2"/>
        <v>49069.59999999999</v>
      </c>
      <c r="M67" s="21"/>
      <c r="N67" s="21">
        <f t="shared" si="3"/>
        <v>49069.59999999999</v>
      </c>
    </row>
    <row r="68" spans="1:14" ht="12.75">
      <c r="A68" s="7">
        <v>18</v>
      </c>
      <c r="B68" s="5" t="s">
        <v>26</v>
      </c>
      <c r="C68" s="9">
        <f aca="true" t="shared" si="20" ref="C68:H68">C69+C70</f>
        <v>28315.699999999997</v>
      </c>
      <c r="D68" s="9">
        <f t="shared" si="20"/>
        <v>51.57686703096539</v>
      </c>
      <c r="E68" s="9">
        <f t="shared" si="20"/>
        <v>885.7</v>
      </c>
      <c r="F68" s="9">
        <f t="shared" si="20"/>
        <v>1.613296903460838</v>
      </c>
      <c r="G68" s="9">
        <f t="shared" si="20"/>
        <v>4155.700000000001</v>
      </c>
      <c r="H68" s="9">
        <f t="shared" si="20"/>
        <v>7.569581056466303</v>
      </c>
      <c r="I68" s="28">
        <f t="shared" si="1"/>
        <v>549</v>
      </c>
      <c r="J68" s="9">
        <f>J69+J70</f>
        <v>60.75974499089253</v>
      </c>
      <c r="K68" s="74">
        <v>549</v>
      </c>
      <c r="L68" s="9">
        <f t="shared" si="2"/>
        <v>33357.1</v>
      </c>
      <c r="M68" s="19">
        <f>M69</f>
        <v>1094.7</v>
      </c>
      <c r="N68" s="19">
        <f t="shared" si="3"/>
        <v>34451.799999999996</v>
      </c>
    </row>
    <row r="69" spans="1:14" ht="12.75">
      <c r="A69" s="7"/>
      <c r="B69" s="5" t="s">
        <v>7</v>
      </c>
      <c r="C69" s="5">
        <v>115.1</v>
      </c>
      <c r="D69" s="10">
        <f>C69/I69</f>
        <v>0.20965391621129326</v>
      </c>
      <c r="E69" s="10">
        <f>1822.4-936.7</f>
        <v>885.7</v>
      </c>
      <c r="F69" s="10">
        <f>E69/K69</f>
        <v>1.613296903460838</v>
      </c>
      <c r="G69" s="10">
        <f>3496.5+24-C69-E69-M69</f>
        <v>1424.9999999999998</v>
      </c>
      <c r="H69" s="10">
        <f>G69/I69</f>
        <v>2.595628415300546</v>
      </c>
      <c r="I69" s="73">
        <f t="shared" si="1"/>
        <v>549</v>
      </c>
      <c r="J69" s="10">
        <f>(D69+F69+H69)</f>
        <v>4.418579234972677</v>
      </c>
      <c r="K69" s="17">
        <f>K68</f>
        <v>549</v>
      </c>
      <c r="L69" s="18">
        <f t="shared" si="2"/>
        <v>2425.7999999999997</v>
      </c>
      <c r="M69" s="21">
        <v>1094.7</v>
      </c>
      <c r="N69" s="21">
        <f t="shared" si="3"/>
        <v>3520.5</v>
      </c>
    </row>
    <row r="70" spans="1:14" ht="12.75">
      <c r="A70" s="7"/>
      <c r="B70" s="5" t="s">
        <v>155</v>
      </c>
      <c r="C70" s="5">
        <v>28200.6</v>
      </c>
      <c r="D70" s="10">
        <f>C70/I70</f>
        <v>51.367213114754094</v>
      </c>
      <c r="E70" s="10"/>
      <c r="F70" s="10"/>
      <c r="G70" s="10">
        <f>30809.7+121.6-C70-E70-M70</f>
        <v>2730.7000000000007</v>
      </c>
      <c r="H70" s="10">
        <f>G70/I70</f>
        <v>4.9739526411657575</v>
      </c>
      <c r="I70" s="73">
        <f t="shared" si="1"/>
        <v>549</v>
      </c>
      <c r="J70" s="10">
        <f>(D70+F70+H70)</f>
        <v>56.34116575591985</v>
      </c>
      <c r="K70" s="17">
        <f>K68</f>
        <v>549</v>
      </c>
      <c r="L70" s="18">
        <f t="shared" si="2"/>
        <v>30931.3</v>
      </c>
      <c r="M70" s="21"/>
      <c r="N70" s="21">
        <f t="shared" si="3"/>
        <v>30931.3</v>
      </c>
    </row>
    <row r="71" spans="1:14" ht="12.75">
      <c r="A71" s="7">
        <v>19</v>
      </c>
      <c r="B71" s="5" t="s">
        <v>27</v>
      </c>
      <c r="C71" s="9">
        <f aca="true" t="shared" si="21" ref="C71:H71">C72+C73</f>
        <v>42159.3</v>
      </c>
      <c r="D71" s="9">
        <f t="shared" si="21"/>
        <v>41.6182625863771</v>
      </c>
      <c r="E71" s="9">
        <f t="shared" si="21"/>
        <v>496.80000000000007</v>
      </c>
      <c r="F71" s="9">
        <f t="shared" si="21"/>
        <v>0.4904244817374137</v>
      </c>
      <c r="G71" s="9">
        <f t="shared" si="21"/>
        <v>6897.000000000003</v>
      </c>
      <c r="H71" s="9">
        <f t="shared" si="21"/>
        <v>6.808489634748275</v>
      </c>
      <c r="I71" s="28">
        <f t="shared" si="1"/>
        <v>1013</v>
      </c>
      <c r="J71" s="9">
        <f>J72+J73</f>
        <v>48.91717670286279</v>
      </c>
      <c r="K71" s="74">
        <v>1013</v>
      </c>
      <c r="L71" s="9">
        <f t="shared" si="2"/>
        <v>49553.100000000006</v>
      </c>
      <c r="M71" s="19">
        <f>M72</f>
        <v>1104.7</v>
      </c>
      <c r="N71" s="19">
        <f t="shared" si="3"/>
        <v>50657.8</v>
      </c>
    </row>
    <row r="72" spans="1:14" ht="12.75">
      <c r="A72" s="7"/>
      <c r="B72" s="5" t="s">
        <v>7</v>
      </c>
      <c r="C72" s="5">
        <v>624.8</v>
      </c>
      <c r="D72" s="10">
        <f>C72/I72</f>
        <v>0.616781836130306</v>
      </c>
      <c r="E72" s="10">
        <f>1382.7-885.9</f>
        <v>496.80000000000007</v>
      </c>
      <c r="F72" s="10">
        <f>E72/K72</f>
        <v>0.4904244817374137</v>
      </c>
      <c r="G72" s="10">
        <f>4092.5+16-C72-E72-M72</f>
        <v>1882.1999999999996</v>
      </c>
      <c r="H72" s="10">
        <f>G72/I72</f>
        <v>1.8580454096742345</v>
      </c>
      <c r="I72" s="73">
        <f t="shared" si="1"/>
        <v>1013</v>
      </c>
      <c r="J72" s="10">
        <f>(D72+F72+H72)</f>
        <v>2.965251727541954</v>
      </c>
      <c r="K72" s="17">
        <f>K71</f>
        <v>1013</v>
      </c>
      <c r="L72" s="18">
        <f t="shared" si="2"/>
        <v>3003.7999999999993</v>
      </c>
      <c r="M72" s="21">
        <v>1104.7</v>
      </c>
      <c r="N72" s="21">
        <f t="shared" si="3"/>
        <v>4108.499999999999</v>
      </c>
    </row>
    <row r="73" spans="1:14" ht="12.75">
      <c r="A73" s="7"/>
      <c r="B73" s="5" t="s">
        <v>155</v>
      </c>
      <c r="C73" s="5">
        <v>41534.5</v>
      </c>
      <c r="D73" s="10">
        <f>C73/I73</f>
        <v>41.00148075024679</v>
      </c>
      <c r="E73" s="10"/>
      <c r="F73" s="10"/>
      <c r="G73" s="10">
        <f>46473.3+76-C73-E73-M73</f>
        <v>5014.800000000003</v>
      </c>
      <c r="H73" s="10">
        <f>G73/I73</f>
        <v>4.95044422507404</v>
      </c>
      <c r="I73" s="73">
        <f t="shared" si="1"/>
        <v>1013</v>
      </c>
      <c r="J73" s="10">
        <f>(D73+F73+H73)</f>
        <v>45.951924975320836</v>
      </c>
      <c r="K73" s="17">
        <f>K71</f>
        <v>1013</v>
      </c>
      <c r="L73" s="18">
        <f t="shared" si="2"/>
        <v>46549.3</v>
      </c>
      <c r="M73" s="21"/>
      <c r="N73" s="21">
        <f t="shared" si="3"/>
        <v>46549.3</v>
      </c>
    </row>
    <row r="74" spans="1:14" ht="12.75">
      <c r="A74" s="7">
        <v>20</v>
      </c>
      <c r="B74" s="5" t="s">
        <v>28</v>
      </c>
      <c r="C74" s="9">
        <f aca="true" t="shared" si="22" ref="C74:H74">C75+C76</f>
        <v>15626.900000000001</v>
      </c>
      <c r="D74" s="9">
        <f t="shared" si="22"/>
        <v>52.439261744966444</v>
      </c>
      <c r="E74" s="9">
        <f t="shared" si="22"/>
        <v>374.6</v>
      </c>
      <c r="F74" s="9">
        <f t="shared" si="22"/>
        <v>1.257046979865772</v>
      </c>
      <c r="G74" s="9">
        <f t="shared" si="22"/>
        <v>2306.499999999999</v>
      </c>
      <c r="H74" s="9">
        <f t="shared" si="22"/>
        <v>7.739932885906037</v>
      </c>
      <c r="I74" s="28">
        <f t="shared" si="1"/>
        <v>298</v>
      </c>
      <c r="J74" s="9">
        <f>J75+J76</f>
        <v>61.43624161073825</v>
      </c>
      <c r="K74" s="74">
        <v>298</v>
      </c>
      <c r="L74" s="9">
        <f t="shared" si="2"/>
        <v>18308</v>
      </c>
      <c r="M74" s="19">
        <f>M75</f>
        <v>361.6</v>
      </c>
      <c r="N74" s="19">
        <f t="shared" si="3"/>
        <v>18669.6</v>
      </c>
    </row>
    <row r="75" spans="1:14" ht="12.75">
      <c r="A75" s="7"/>
      <c r="B75" s="5" t="s">
        <v>7</v>
      </c>
      <c r="C75" s="5">
        <v>465.1</v>
      </c>
      <c r="D75" s="10">
        <f>C75/I75</f>
        <v>1.5607382550335571</v>
      </c>
      <c r="E75" s="10">
        <f>688.2-313.6</f>
        <v>374.6</v>
      </c>
      <c r="F75" s="10">
        <f>E75/K75</f>
        <v>1.257046979865772</v>
      </c>
      <c r="G75" s="10">
        <f>1915.1+30-C75-E75-M75</f>
        <v>743.8000000000001</v>
      </c>
      <c r="H75" s="10">
        <f>G75/I75</f>
        <v>2.4959731543624164</v>
      </c>
      <c r="I75" s="73">
        <f t="shared" si="1"/>
        <v>298</v>
      </c>
      <c r="J75" s="10">
        <f>(D75+F75+H75)</f>
        <v>5.3137583892617455</v>
      </c>
      <c r="K75" s="17">
        <f>K74</f>
        <v>298</v>
      </c>
      <c r="L75" s="18">
        <f t="shared" si="2"/>
        <v>1583.5000000000002</v>
      </c>
      <c r="M75" s="21">
        <v>361.6</v>
      </c>
      <c r="N75" s="21">
        <f t="shared" si="3"/>
        <v>1945.1000000000004</v>
      </c>
    </row>
    <row r="76" spans="1:14" ht="12.75">
      <c r="A76" s="7"/>
      <c r="B76" s="5" t="s">
        <v>155</v>
      </c>
      <c r="C76" s="89">
        <f>14484.7+677.1</f>
        <v>15161.800000000001</v>
      </c>
      <c r="D76" s="10">
        <f>C76/I76</f>
        <v>50.87852348993289</v>
      </c>
      <c r="E76" s="10"/>
      <c r="F76" s="10"/>
      <c r="G76" s="10">
        <f>15953.2+94.2+677.1-C76-E76-M76</f>
        <v>1562.699999999999</v>
      </c>
      <c r="H76" s="10">
        <f>G76/I76</f>
        <v>5.243959731543621</v>
      </c>
      <c r="I76" s="73">
        <f t="shared" si="1"/>
        <v>298</v>
      </c>
      <c r="J76" s="10">
        <f>(D76+F76+H76)</f>
        <v>56.12248322147651</v>
      </c>
      <c r="K76" s="17">
        <f>K74</f>
        <v>298</v>
      </c>
      <c r="L76" s="18">
        <f t="shared" si="2"/>
        <v>16724.5</v>
      </c>
      <c r="M76" s="19"/>
      <c r="N76" s="21">
        <f t="shared" si="3"/>
        <v>16724.5</v>
      </c>
    </row>
    <row r="77" spans="1:14" ht="12.75">
      <c r="A77" s="7">
        <v>21</v>
      </c>
      <c r="B77" s="5" t="s">
        <v>29</v>
      </c>
      <c r="C77" s="9">
        <f aca="true" t="shared" si="23" ref="C77:H77">C78+C79</f>
        <v>13026</v>
      </c>
      <c r="D77" s="9">
        <f t="shared" si="23"/>
        <v>82.96815286624204</v>
      </c>
      <c r="E77" s="9">
        <f t="shared" si="23"/>
        <v>625.4</v>
      </c>
      <c r="F77" s="9">
        <f t="shared" si="23"/>
        <v>3.9834394904458597</v>
      </c>
      <c r="G77" s="9">
        <f t="shared" si="23"/>
        <v>1628.5999999999979</v>
      </c>
      <c r="H77" s="9">
        <f t="shared" si="23"/>
        <v>10.373248407643299</v>
      </c>
      <c r="I77" s="28">
        <f t="shared" si="1"/>
        <v>157</v>
      </c>
      <c r="J77" s="9">
        <f>J78+J79</f>
        <v>97.3248407643312</v>
      </c>
      <c r="K77" s="74">
        <v>157</v>
      </c>
      <c r="L77" s="9">
        <f t="shared" si="2"/>
        <v>15279.999999999998</v>
      </c>
      <c r="M77" s="19">
        <f>M78</f>
        <v>551.8</v>
      </c>
      <c r="N77" s="19">
        <f t="shared" si="3"/>
        <v>15831.799999999997</v>
      </c>
    </row>
    <row r="78" spans="1:14" ht="12.75">
      <c r="A78" s="7"/>
      <c r="B78" s="5" t="s">
        <v>7</v>
      </c>
      <c r="C78" s="5">
        <v>264.9</v>
      </c>
      <c r="D78" s="10">
        <f>C78/I78</f>
        <v>1.6872611464968152</v>
      </c>
      <c r="E78" s="10">
        <f>1153-527.6</f>
        <v>625.4</v>
      </c>
      <c r="F78" s="10">
        <f>E78/K78</f>
        <v>3.9834394904458597</v>
      </c>
      <c r="G78" s="10">
        <f>2156.7+18-C78-E78-M78</f>
        <v>732.5999999999997</v>
      </c>
      <c r="H78" s="10">
        <f>G78/I78</f>
        <v>4.666242038216558</v>
      </c>
      <c r="I78" s="73">
        <f t="shared" si="1"/>
        <v>157</v>
      </c>
      <c r="J78" s="10">
        <f>(D78+F78+H78)</f>
        <v>10.336942675159232</v>
      </c>
      <c r="K78" s="17">
        <f>K77</f>
        <v>157</v>
      </c>
      <c r="L78" s="18">
        <f t="shared" si="2"/>
        <v>1622.8999999999994</v>
      </c>
      <c r="M78" s="21">
        <v>551.8</v>
      </c>
      <c r="N78" s="21">
        <f t="shared" si="3"/>
        <v>2174.6999999999994</v>
      </c>
    </row>
    <row r="79" spans="1:14" ht="12.75">
      <c r="A79" s="7"/>
      <c r="B79" s="5" t="s">
        <v>155</v>
      </c>
      <c r="C79" s="5">
        <v>12761.1</v>
      </c>
      <c r="D79" s="10">
        <f>C79/I79</f>
        <v>81.28089171974523</v>
      </c>
      <c r="E79" s="10"/>
      <c r="F79" s="10"/>
      <c r="G79" s="10">
        <f>13599.3+57.8-C79-E79-M79</f>
        <v>895.9999999999982</v>
      </c>
      <c r="H79" s="10">
        <f>G79/I79</f>
        <v>5.70700636942674</v>
      </c>
      <c r="I79" s="73">
        <f t="shared" si="1"/>
        <v>157</v>
      </c>
      <c r="J79" s="10">
        <f>(D79+F79+H79)</f>
        <v>86.98789808917196</v>
      </c>
      <c r="K79" s="17">
        <f>K77</f>
        <v>157</v>
      </c>
      <c r="L79" s="18">
        <f t="shared" si="2"/>
        <v>13657.099999999999</v>
      </c>
      <c r="M79" s="19"/>
      <c r="N79" s="21">
        <f t="shared" si="3"/>
        <v>13657.099999999999</v>
      </c>
    </row>
    <row r="80" spans="1:14" ht="12.75">
      <c r="A80" s="7">
        <v>22</v>
      </c>
      <c r="B80" s="5" t="s">
        <v>30</v>
      </c>
      <c r="C80" s="9">
        <f aca="true" t="shared" si="24" ref="C80:H80">C81+C82</f>
        <v>51810.299999999996</v>
      </c>
      <c r="D80" s="9">
        <f>D81+D82</f>
        <v>70.6825375170532</v>
      </c>
      <c r="E80" s="9">
        <f t="shared" si="24"/>
        <v>888.8000000000001</v>
      </c>
      <c r="F80" s="9">
        <f t="shared" si="24"/>
        <v>1.2125511596180083</v>
      </c>
      <c r="G80" s="9">
        <f t="shared" si="24"/>
        <v>6274.9000000000015</v>
      </c>
      <c r="H80" s="9">
        <f t="shared" si="24"/>
        <v>8.560572987721693</v>
      </c>
      <c r="I80" s="28">
        <f t="shared" si="1"/>
        <v>733</v>
      </c>
      <c r="J80" s="9">
        <f>J81+J82</f>
        <v>80.45566166439289</v>
      </c>
      <c r="K80" s="74">
        <v>733</v>
      </c>
      <c r="L80" s="9">
        <f t="shared" si="2"/>
        <v>58973.99999999999</v>
      </c>
      <c r="M80" s="19">
        <f>M81</f>
        <v>834.4</v>
      </c>
      <c r="N80" s="19">
        <f t="shared" si="3"/>
        <v>59808.399999999994</v>
      </c>
    </row>
    <row r="81" spans="1:14" ht="12.75">
      <c r="A81" s="7"/>
      <c r="B81" s="5" t="s">
        <v>7</v>
      </c>
      <c r="C81" s="5">
        <v>909.6</v>
      </c>
      <c r="D81" s="10">
        <f>C81/I81</f>
        <v>1.2409276944065484</v>
      </c>
      <c r="E81" s="10">
        <f>1609.7-720.9</f>
        <v>888.8000000000001</v>
      </c>
      <c r="F81" s="10">
        <f>E81/K81</f>
        <v>1.2125511596180083</v>
      </c>
      <c r="G81" s="10">
        <f>5444.4-C81-E81-M81</f>
        <v>2811.599999999999</v>
      </c>
      <c r="H81" s="10">
        <f>G81/I81</f>
        <v>3.8357435197817176</v>
      </c>
      <c r="I81" s="73">
        <f t="shared" si="1"/>
        <v>733</v>
      </c>
      <c r="J81" s="10">
        <f>(D81+F81+H81)</f>
        <v>6.289222373806274</v>
      </c>
      <c r="K81" s="17">
        <f>K80</f>
        <v>733</v>
      </c>
      <c r="L81" s="18">
        <f t="shared" si="2"/>
        <v>4609.999999999998</v>
      </c>
      <c r="M81" s="21">
        <v>834.4</v>
      </c>
      <c r="N81" s="21">
        <f t="shared" si="3"/>
        <v>5444.399999999998</v>
      </c>
    </row>
    <row r="82" spans="1:14" ht="12.75">
      <c r="A82" s="7"/>
      <c r="B82" s="5" t="s">
        <v>155</v>
      </c>
      <c r="C82" s="5">
        <v>50900.7</v>
      </c>
      <c r="D82" s="10">
        <f>C82/I82</f>
        <v>69.44160982264665</v>
      </c>
      <c r="E82" s="10"/>
      <c r="F82" s="10"/>
      <c r="G82" s="10">
        <f>54364-C82-E82-M82</f>
        <v>3463.300000000003</v>
      </c>
      <c r="H82" s="10">
        <f>G82/I82</f>
        <v>4.724829467939976</v>
      </c>
      <c r="I82" s="73">
        <f aca="true" t="shared" si="25" ref="I82:I145">K82</f>
        <v>733</v>
      </c>
      <c r="J82" s="10">
        <f>(D82+F82+H82)</f>
        <v>74.16643929058662</v>
      </c>
      <c r="K82" s="17">
        <f>K80</f>
        <v>733</v>
      </c>
      <c r="L82" s="18">
        <f aca="true" t="shared" si="26" ref="L82:L154">J82*K82</f>
        <v>54363.99999999999</v>
      </c>
      <c r="M82" s="21"/>
      <c r="N82" s="21">
        <f aca="true" t="shared" si="27" ref="N82:N154">L82+M82</f>
        <v>54363.99999999999</v>
      </c>
    </row>
    <row r="83" spans="1:14" ht="12.75">
      <c r="A83" s="7">
        <v>23</v>
      </c>
      <c r="B83" s="5" t="s">
        <v>31</v>
      </c>
      <c r="C83" s="9">
        <f aca="true" t="shared" si="28" ref="C83:H83">C84+C85</f>
        <v>20642.7</v>
      </c>
      <c r="D83" s="9">
        <f t="shared" si="28"/>
        <v>96.46121495327102</v>
      </c>
      <c r="E83" s="9">
        <f t="shared" si="28"/>
        <v>792.8</v>
      </c>
      <c r="F83" s="9">
        <f t="shared" si="28"/>
        <v>3.7046728971962612</v>
      </c>
      <c r="G83" s="9">
        <f t="shared" si="28"/>
        <v>3327.9000000000005</v>
      </c>
      <c r="H83" s="9">
        <f t="shared" si="28"/>
        <v>15.550934579439254</v>
      </c>
      <c r="I83" s="28">
        <f t="shared" si="25"/>
        <v>214</v>
      </c>
      <c r="J83" s="9">
        <f>J84+J85</f>
        <v>115.71682242990654</v>
      </c>
      <c r="K83" s="74">
        <v>214</v>
      </c>
      <c r="L83" s="9">
        <f t="shared" si="26"/>
        <v>24763.4</v>
      </c>
      <c r="M83" s="19">
        <f>M84</f>
        <v>1111</v>
      </c>
      <c r="N83" s="19">
        <f t="shared" si="27"/>
        <v>25874.4</v>
      </c>
    </row>
    <row r="84" spans="1:14" ht="12.75">
      <c r="A84" s="7"/>
      <c r="B84" s="5" t="s">
        <v>7</v>
      </c>
      <c r="C84" s="5">
        <v>279.9</v>
      </c>
      <c r="D84" s="10">
        <f>C84/I84</f>
        <v>1.3079439252336447</v>
      </c>
      <c r="E84" s="10">
        <f>1874.1-1081.3</f>
        <v>792.8</v>
      </c>
      <c r="F84" s="10">
        <f>E84/K84</f>
        <v>3.7046728971962612</v>
      </c>
      <c r="G84" s="10">
        <f>4358.9+32-C84-E84-M84</f>
        <v>2207.2</v>
      </c>
      <c r="H84" s="10">
        <f>G84/I84</f>
        <v>10.314018691588783</v>
      </c>
      <c r="I84" s="73">
        <f t="shared" si="25"/>
        <v>214</v>
      </c>
      <c r="J84" s="10">
        <f>(D84+F84+H84)</f>
        <v>15.32663551401869</v>
      </c>
      <c r="K84" s="17">
        <f>K83</f>
        <v>214</v>
      </c>
      <c r="L84" s="18">
        <f t="shared" si="26"/>
        <v>3279.8999999999996</v>
      </c>
      <c r="M84" s="21">
        <v>1111</v>
      </c>
      <c r="N84" s="21">
        <f t="shared" si="27"/>
        <v>4390.9</v>
      </c>
    </row>
    <row r="85" spans="1:14" ht="12.75">
      <c r="A85" s="7"/>
      <c r="B85" s="5" t="s">
        <v>155</v>
      </c>
      <c r="C85" s="5">
        <v>20362.8</v>
      </c>
      <c r="D85" s="10">
        <f>C85/I85</f>
        <v>95.15327102803738</v>
      </c>
      <c r="E85" s="10"/>
      <c r="F85" s="10"/>
      <c r="G85" s="10">
        <f>21407.5+76-C85-E85-M85</f>
        <v>1120.7000000000007</v>
      </c>
      <c r="H85" s="10">
        <f>G85/I85</f>
        <v>5.236915887850471</v>
      </c>
      <c r="I85" s="73">
        <f t="shared" si="25"/>
        <v>214</v>
      </c>
      <c r="J85" s="10">
        <f>(D85+F85+H85)</f>
        <v>100.39018691588785</v>
      </c>
      <c r="K85" s="17">
        <f>K83</f>
        <v>214</v>
      </c>
      <c r="L85" s="18">
        <f t="shared" si="26"/>
        <v>21483.5</v>
      </c>
      <c r="M85" s="21"/>
      <c r="N85" s="21">
        <f t="shared" si="27"/>
        <v>21483.5</v>
      </c>
    </row>
    <row r="86" spans="1:14" ht="12.75">
      <c r="A86" s="7">
        <v>24</v>
      </c>
      <c r="B86" s="5" t="s">
        <v>32</v>
      </c>
      <c r="C86" s="9">
        <f aca="true" t="shared" si="29" ref="C86:H86">C87+C88</f>
        <v>20696.4</v>
      </c>
      <c r="D86" s="9">
        <f t="shared" si="29"/>
        <v>76.65333333333334</v>
      </c>
      <c r="E86" s="9">
        <f t="shared" si="29"/>
        <v>526.3</v>
      </c>
      <c r="F86" s="9">
        <f t="shared" si="29"/>
        <v>1.949259259259259</v>
      </c>
      <c r="G86" s="9">
        <f t="shared" si="29"/>
        <v>2346.499999999998</v>
      </c>
      <c r="H86" s="9">
        <f t="shared" si="29"/>
        <v>8.690740740740734</v>
      </c>
      <c r="I86" s="28">
        <f t="shared" si="25"/>
        <v>270</v>
      </c>
      <c r="J86" s="9">
        <f>J87+J88</f>
        <v>87.29333333333332</v>
      </c>
      <c r="K86" s="74">
        <v>270</v>
      </c>
      <c r="L86" s="9">
        <f t="shared" si="26"/>
        <v>23569.199999999997</v>
      </c>
      <c r="M86" s="19">
        <f>M87</f>
        <v>834.5</v>
      </c>
      <c r="N86" s="19">
        <f t="shared" si="27"/>
        <v>24403.699999999997</v>
      </c>
    </row>
    <row r="87" spans="1:14" ht="12.75">
      <c r="A87" s="7"/>
      <c r="B87" s="5" t="s">
        <v>7</v>
      </c>
      <c r="C87" s="5"/>
      <c r="D87" s="10"/>
      <c r="E87" s="10">
        <f>1100.8-574.5</f>
        <v>526.3</v>
      </c>
      <c r="F87" s="10">
        <f>E87/K87</f>
        <v>1.949259259259259</v>
      </c>
      <c r="G87" s="10">
        <f>2517.2-C87-E87-M87</f>
        <v>1156.3999999999999</v>
      </c>
      <c r="H87" s="10">
        <f>G87/I87</f>
        <v>4.282962962962962</v>
      </c>
      <c r="I87" s="73">
        <f t="shared" si="25"/>
        <v>270</v>
      </c>
      <c r="J87" s="10">
        <f>(D87+F87+H87)</f>
        <v>6.232222222222221</v>
      </c>
      <c r="K87" s="17">
        <f>K86</f>
        <v>270</v>
      </c>
      <c r="L87" s="18">
        <f t="shared" si="26"/>
        <v>1682.6999999999998</v>
      </c>
      <c r="M87" s="21">
        <v>834.5</v>
      </c>
      <c r="N87" s="21">
        <f t="shared" si="27"/>
        <v>2517.2</v>
      </c>
    </row>
    <row r="88" spans="1:14" ht="12.75">
      <c r="A88" s="7"/>
      <c r="B88" s="5" t="s">
        <v>155</v>
      </c>
      <c r="C88" s="5">
        <v>20696.4</v>
      </c>
      <c r="D88" s="10">
        <f>C88/I88</f>
        <v>76.65333333333334</v>
      </c>
      <c r="E88" s="10"/>
      <c r="F88" s="10"/>
      <c r="G88" s="10">
        <f>21886.5-C88-E88-M88</f>
        <v>1190.0999999999985</v>
      </c>
      <c r="H88" s="10">
        <f>G88/I88</f>
        <v>4.407777777777772</v>
      </c>
      <c r="I88" s="73">
        <f t="shared" si="25"/>
        <v>270</v>
      </c>
      <c r="J88" s="10">
        <f>(D88+F88+H88)</f>
        <v>81.0611111111111</v>
      </c>
      <c r="K88" s="17">
        <f>K86</f>
        <v>270</v>
      </c>
      <c r="L88" s="18">
        <f t="shared" si="26"/>
        <v>21886.499999999996</v>
      </c>
      <c r="M88" s="21"/>
      <c r="N88" s="21">
        <f t="shared" si="27"/>
        <v>21886.499999999996</v>
      </c>
    </row>
    <row r="89" spans="1:14" ht="12.75">
      <c r="A89" s="7">
        <v>25</v>
      </c>
      <c r="B89" s="5" t="s">
        <v>33</v>
      </c>
      <c r="C89" s="9">
        <f aca="true" t="shared" si="30" ref="C89:H89">C90+C91</f>
        <v>13121.25</v>
      </c>
      <c r="D89" s="9">
        <f t="shared" si="30"/>
        <v>78.10267857142857</v>
      </c>
      <c r="E89" s="9">
        <f t="shared" si="30"/>
        <v>477.9</v>
      </c>
      <c r="F89" s="9">
        <f t="shared" si="30"/>
        <v>2.844642857142857</v>
      </c>
      <c r="G89" s="9">
        <f t="shared" si="30"/>
        <v>1383.3499999999979</v>
      </c>
      <c r="H89" s="9">
        <f t="shared" si="30"/>
        <v>8.234226190476178</v>
      </c>
      <c r="I89" s="28">
        <f t="shared" si="25"/>
        <v>168</v>
      </c>
      <c r="J89" s="9">
        <f>J90+J91</f>
        <v>89.1815476190476</v>
      </c>
      <c r="K89" s="74">
        <v>168</v>
      </c>
      <c r="L89" s="9">
        <f t="shared" si="26"/>
        <v>14982.499999999998</v>
      </c>
      <c r="M89" s="19">
        <f>M90</f>
        <v>362.3</v>
      </c>
      <c r="N89" s="19">
        <f t="shared" si="27"/>
        <v>15344.799999999997</v>
      </c>
    </row>
    <row r="90" spans="1:14" ht="12.75">
      <c r="A90" s="7"/>
      <c r="B90" s="5" t="s">
        <v>7</v>
      </c>
      <c r="C90" s="5">
        <v>0.05</v>
      </c>
      <c r="D90" s="10">
        <f>C90/I90</f>
        <v>0.00029761904761904765</v>
      </c>
      <c r="E90" s="10">
        <f>784.4-306.5</f>
        <v>477.9</v>
      </c>
      <c r="F90" s="10">
        <f>E90/K90</f>
        <v>2.844642857142857</v>
      </c>
      <c r="G90" s="10">
        <f>1329.4+12.8-C90-E90-M90</f>
        <v>501.9500000000001</v>
      </c>
      <c r="H90" s="10">
        <f>G90/I90</f>
        <v>2.98779761904762</v>
      </c>
      <c r="I90" s="73">
        <f t="shared" si="25"/>
        <v>168</v>
      </c>
      <c r="J90" s="10">
        <f>(D90+F90+H90)</f>
        <v>5.832738095238096</v>
      </c>
      <c r="K90" s="17">
        <f>K89</f>
        <v>168</v>
      </c>
      <c r="L90" s="18">
        <f t="shared" si="26"/>
        <v>979.9000000000001</v>
      </c>
      <c r="M90" s="21">
        <v>362.3</v>
      </c>
      <c r="N90" s="21">
        <f t="shared" si="27"/>
        <v>1342.2</v>
      </c>
    </row>
    <row r="91" spans="1:14" ht="12.75">
      <c r="A91" s="7"/>
      <c r="B91" s="5" t="s">
        <v>155</v>
      </c>
      <c r="C91" s="5">
        <v>13121.2</v>
      </c>
      <c r="D91" s="10">
        <f>C91/I91</f>
        <v>78.10238095238095</v>
      </c>
      <c r="E91" s="10"/>
      <c r="F91" s="10"/>
      <c r="G91" s="10">
        <f>13938.8+63.8-C91-E91-M91</f>
        <v>881.3999999999978</v>
      </c>
      <c r="H91" s="10">
        <f>G91/I91</f>
        <v>5.246428571428559</v>
      </c>
      <c r="I91" s="73">
        <f t="shared" si="25"/>
        <v>168</v>
      </c>
      <c r="J91" s="10">
        <f>(D91+F91+H91)</f>
        <v>83.3488095238095</v>
      </c>
      <c r="K91" s="17">
        <f>K89</f>
        <v>168</v>
      </c>
      <c r="L91" s="18">
        <f t="shared" si="26"/>
        <v>14002.599999999997</v>
      </c>
      <c r="M91" s="19"/>
      <c r="N91" s="21">
        <f t="shared" si="27"/>
        <v>14002.599999999997</v>
      </c>
    </row>
    <row r="92" spans="1:14" ht="12.75">
      <c r="A92" s="7">
        <v>26</v>
      </c>
      <c r="B92" s="5" t="s">
        <v>34</v>
      </c>
      <c r="C92" s="9">
        <f aca="true" t="shared" si="31" ref="C92:H92">C93+C94</f>
        <v>34019</v>
      </c>
      <c r="D92" s="9">
        <f t="shared" si="31"/>
        <v>55.95230263157895</v>
      </c>
      <c r="E92" s="9">
        <f t="shared" si="31"/>
        <v>2188.5</v>
      </c>
      <c r="F92" s="9">
        <f t="shared" si="31"/>
        <v>3.5995065789473686</v>
      </c>
      <c r="G92" s="9">
        <f t="shared" si="31"/>
        <v>4714.199999999996</v>
      </c>
      <c r="H92" s="9">
        <f t="shared" si="31"/>
        <v>7.753618421052626</v>
      </c>
      <c r="I92" s="28">
        <f t="shared" si="25"/>
        <v>608</v>
      </c>
      <c r="J92" s="9">
        <f>J93+J94</f>
        <v>67.30542763157895</v>
      </c>
      <c r="K92" s="74">
        <v>608</v>
      </c>
      <c r="L92" s="9">
        <f t="shared" si="26"/>
        <v>40921.700000000004</v>
      </c>
      <c r="M92" s="19">
        <f>M93</f>
        <v>1399.3</v>
      </c>
      <c r="N92" s="19">
        <f t="shared" si="27"/>
        <v>42321.00000000001</v>
      </c>
    </row>
    <row r="93" spans="1:14" ht="12.75">
      <c r="A93" s="7"/>
      <c r="B93" s="5" t="s">
        <v>7</v>
      </c>
      <c r="C93" s="5">
        <v>89.2</v>
      </c>
      <c r="D93" s="10">
        <f>C93/I93</f>
        <v>0.14671052631578949</v>
      </c>
      <c r="E93" s="10">
        <f>3387.8-1199.3</f>
        <v>2188.5</v>
      </c>
      <c r="F93" s="10">
        <f>E93/K93</f>
        <v>3.5995065789473686</v>
      </c>
      <c r="G93" s="10">
        <f>4343.6+47.8-C93-E93-M93</f>
        <v>714.4000000000008</v>
      </c>
      <c r="H93" s="10">
        <f>G93/I93</f>
        <v>1.1750000000000014</v>
      </c>
      <c r="I93" s="73">
        <f t="shared" si="25"/>
        <v>608</v>
      </c>
      <c r="J93" s="10">
        <f>(D93+F93+H93)</f>
        <v>4.9212171052631595</v>
      </c>
      <c r="K93" s="17">
        <f>K92</f>
        <v>608</v>
      </c>
      <c r="L93" s="18">
        <f t="shared" si="26"/>
        <v>2992.100000000001</v>
      </c>
      <c r="M93" s="21">
        <v>1399.3</v>
      </c>
      <c r="N93" s="21">
        <f t="shared" si="27"/>
        <v>4391.400000000001</v>
      </c>
    </row>
    <row r="94" spans="1:14" ht="12.75">
      <c r="A94" s="7"/>
      <c r="B94" s="5" t="s">
        <v>155</v>
      </c>
      <c r="C94" s="5">
        <v>33929.8</v>
      </c>
      <c r="D94" s="10">
        <f>C94/I94</f>
        <v>55.805592105263166</v>
      </c>
      <c r="E94" s="10"/>
      <c r="F94" s="10"/>
      <c r="G94" s="10">
        <f>37701.6+228-C94-E94-M94</f>
        <v>3999.7999999999956</v>
      </c>
      <c r="H94" s="10">
        <f>G94/I94</f>
        <v>6.578618421052624</v>
      </c>
      <c r="I94" s="73">
        <f t="shared" si="25"/>
        <v>608</v>
      </c>
      <c r="J94" s="10">
        <f>(D94+F94+H94)</f>
        <v>62.38421052631579</v>
      </c>
      <c r="K94" s="17">
        <f>K92</f>
        <v>608</v>
      </c>
      <c r="L94" s="18">
        <f t="shared" si="26"/>
        <v>37929.6</v>
      </c>
      <c r="M94" s="19"/>
      <c r="N94" s="21">
        <f t="shared" si="27"/>
        <v>37929.6</v>
      </c>
    </row>
    <row r="95" spans="1:14" ht="12.75">
      <c r="A95" s="7">
        <v>27</v>
      </c>
      <c r="B95" s="5" t="s">
        <v>35</v>
      </c>
      <c r="C95" s="9">
        <f aca="true" t="shared" si="32" ref="C95:H95">C96+C97</f>
        <v>17693.7</v>
      </c>
      <c r="D95" s="9">
        <f t="shared" si="32"/>
        <v>40.957638888888894</v>
      </c>
      <c r="E95" s="9">
        <f t="shared" si="32"/>
        <v>570.3</v>
      </c>
      <c r="F95" s="9">
        <f t="shared" si="32"/>
        <v>1.3201388888888888</v>
      </c>
      <c r="G95" s="9">
        <f t="shared" si="32"/>
        <v>2986.5</v>
      </c>
      <c r="H95" s="9">
        <f t="shared" si="32"/>
        <v>6.913194444444445</v>
      </c>
      <c r="I95" s="28">
        <f t="shared" si="25"/>
        <v>432</v>
      </c>
      <c r="J95" s="9">
        <f>J96+J97</f>
        <v>49.19097222222223</v>
      </c>
      <c r="K95" s="74">
        <v>432</v>
      </c>
      <c r="L95" s="9">
        <f t="shared" si="26"/>
        <v>21250.500000000004</v>
      </c>
      <c r="M95" s="19">
        <f>M96</f>
        <v>634.2</v>
      </c>
      <c r="N95" s="19">
        <f t="shared" si="27"/>
        <v>21884.700000000004</v>
      </c>
    </row>
    <row r="96" spans="1:14" ht="12.75">
      <c r="A96" s="7"/>
      <c r="B96" s="5" t="s">
        <v>7</v>
      </c>
      <c r="C96" s="5">
        <v>426.3</v>
      </c>
      <c r="D96" s="10">
        <f>C96/I96</f>
        <v>0.9868055555555556</v>
      </c>
      <c r="E96" s="10">
        <f>824.5-254.2</f>
        <v>570.3</v>
      </c>
      <c r="F96" s="10">
        <f>E96/K96</f>
        <v>1.3201388888888888</v>
      </c>
      <c r="G96" s="10">
        <f>2144.4+31.9-C96-E96-M96</f>
        <v>545.5000000000002</v>
      </c>
      <c r="H96" s="10">
        <f>G96/I96</f>
        <v>1.262731481481482</v>
      </c>
      <c r="I96" s="73">
        <f t="shared" si="25"/>
        <v>432</v>
      </c>
      <c r="J96" s="10">
        <f>(D96+F96+H96)</f>
        <v>3.5696759259259263</v>
      </c>
      <c r="K96" s="17">
        <f>K95</f>
        <v>432</v>
      </c>
      <c r="L96" s="18">
        <f t="shared" si="26"/>
        <v>1542.1000000000001</v>
      </c>
      <c r="M96" s="21">
        <v>634.2</v>
      </c>
      <c r="N96" s="21">
        <f t="shared" si="27"/>
        <v>2176.3</v>
      </c>
    </row>
    <row r="97" spans="1:14" ht="12.75">
      <c r="A97" s="7"/>
      <c r="B97" s="5" t="s">
        <v>155</v>
      </c>
      <c r="C97" s="5">
        <v>17267.4</v>
      </c>
      <c r="D97" s="10">
        <f>C97/I97</f>
        <v>39.97083333333334</v>
      </c>
      <c r="E97" s="10"/>
      <c r="F97" s="10"/>
      <c r="G97" s="10">
        <f>19599+109.4-C97-E97-M97</f>
        <v>2441</v>
      </c>
      <c r="H97" s="10">
        <f>G97/I97</f>
        <v>5.650462962962963</v>
      </c>
      <c r="I97" s="73">
        <f t="shared" si="25"/>
        <v>432</v>
      </c>
      <c r="J97" s="10">
        <f>(D97+F97+H97)</f>
        <v>45.6212962962963</v>
      </c>
      <c r="K97" s="17">
        <f>K95</f>
        <v>432</v>
      </c>
      <c r="L97" s="18">
        <f t="shared" si="26"/>
        <v>19708.4</v>
      </c>
      <c r="M97" s="21"/>
      <c r="N97" s="21">
        <f t="shared" si="27"/>
        <v>19708.4</v>
      </c>
    </row>
    <row r="98" spans="1:14" ht="25.5" customHeight="1">
      <c r="A98" s="7">
        <v>28</v>
      </c>
      <c r="B98" s="5" t="s">
        <v>36</v>
      </c>
      <c r="C98" s="9">
        <f aca="true" t="shared" si="33" ref="C98:H98">C99+C100</f>
        <v>30106.899999999998</v>
      </c>
      <c r="D98" s="9">
        <f t="shared" si="33"/>
        <v>50.77048903878583</v>
      </c>
      <c r="E98" s="9">
        <f t="shared" si="33"/>
        <v>1302.7</v>
      </c>
      <c r="F98" s="9">
        <f t="shared" si="33"/>
        <v>2.196795952782462</v>
      </c>
      <c r="G98" s="9">
        <f t="shared" si="33"/>
        <v>4205.200000000004</v>
      </c>
      <c r="H98" s="9">
        <f t="shared" si="33"/>
        <v>7.09139966273188</v>
      </c>
      <c r="I98" s="28">
        <f t="shared" si="25"/>
        <v>593</v>
      </c>
      <c r="J98" s="9">
        <f>J99+J100</f>
        <v>60.05868465430018</v>
      </c>
      <c r="K98" s="74">
        <v>593</v>
      </c>
      <c r="L98" s="9">
        <f t="shared" si="26"/>
        <v>35614.80000000001</v>
      </c>
      <c r="M98" s="19">
        <f>M99</f>
        <v>1023.6</v>
      </c>
      <c r="N98" s="19">
        <f t="shared" si="27"/>
        <v>36638.40000000001</v>
      </c>
    </row>
    <row r="99" spans="1:14" ht="12.75">
      <c r="A99" s="7"/>
      <c r="B99" s="5" t="s">
        <v>7</v>
      </c>
      <c r="C99" s="5">
        <v>570.8</v>
      </c>
      <c r="D99" s="10">
        <f>C99/I99</f>
        <v>0.9625632377740303</v>
      </c>
      <c r="E99" s="10">
        <f>2338-951.6-83.7</f>
        <v>1302.7</v>
      </c>
      <c r="F99" s="10">
        <f>E99/K99</f>
        <v>2.196795952782462</v>
      </c>
      <c r="G99" s="10">
        <f>3611.4+23.9-83.7-C99-E99-M99</f>
        <v>654.5000000000001</v>
      </c>
      <c r="H99" s="10">
        <f>G99/I99</f>
        <v>1.103709949409781</v>
      </c>
      <c r="I99" s="73">
        <f t="shared" si="25"/>
        <v>593</v>
      </c>
      <c r="J99" s="10">
        <f>(D99+F99+H99)</f>
        <v>4.263069139966274</v>
      </c>
      <c r="K99" s="17">
        <f>K98</f>
        <v>593</v>
      </c>
      <c r="L99" s="18">
        <f t="shared" si="26"/>
        <v>2528.0000000000005</v>
      </c>
      <c r="M99" s="21">
        <v>1023.6</v>
      </c>
      <c r="N99" s="21">
        <f t="shared" si="27"/>
        <v>3551.6000000000004</v>
      </c>
    </row>
    <row r="100" spans="1:14" ht="12.75">
      <c r="A100" s="7"/>
      <c r="B100" s="5" t="s">
        <v>155</v>
      </c>
      <c r="C100" s="5">
        <v>29536.1</v>
      </c>
      <c r="D100" s="10">
        <f>C100/I100</f>
        <v>49.807925801011805</v>
      </c>
      <c r="E100" s="10"/>
      <c r="F100" s="10"/>
      <c r="G100" s="10">
        <f>32947+139.8-C100-E100-M100</f>
        <v>3550.7000000000044</v>
      </c>
      <c r="H100" s="10">
        <f>G100/I100</f>
        <v>5.987689713322099</v>
      </c>
      <c r="I100" s="73">
        <f t="shared" si="25"/>
        <v>593</v>
      </c>
      <c r="J100" s="10">
        <f>(D100+F100+H100)</f>
        <v>55.7956155143339</v>
      </c>
      <c r="K100" s="17">
        <f>K98</f>
        <v>593</v>
      </c>
      <c r="L100" s="18">
        <f t="shared" si="26"/>
        <v>33086.8</v>
      </c>
      <c r="M100" s="21"/>
      <c r="N100" s="21">
        <f t="shared" si="27"/>
        <v>33086.8</v>
      </c>
    </row>
    <row r="101" spans="1:14" ht="27.75" customHeight="1">
      <c r="A101" s="7">
        <v>29</v>
      </c>
      <c r="B101" s="5" t="s">
        <v>37</v>
      </c>
      <c r="C101" s="9">
        <f aca="true" t="shared" si="34" ref="C101:H101">C102+C103</f>
        <v>28772.699999999997</v>
      </c>
      <c r="D101" s="9">
        <f t="shared" si="34"/>
        <v>49.779757785467126</v>
      </c>
      <c r="E101" s="9">
        <f t="shared" si="34"/>
        <v>1093.7</v>
      </c>
      <c r="F101" s="9">
        <f t="shared" si="34"/>
        <v>1.8922145328719724</v>
      </c>
      <c r="G101" s="9">
        <f t="shared" si="34"/>
        <v>4249.400000000004</v>
      </c>
      <c r="H101" s="9">
        <f t="shared" si="34"/>
        <v>7.351903114186858</v>
      </c>
      <c r="I101" s="28">
        <f t="shared" si="25"/>
        <v>578</v>
      </c>
      <c r="J101" s="9">
        <f>J102+J103</f>
        <v>59.023875432525955</v>
      </c>
      <c r="K101" s="74">
        <v>578</v>
      </c>
      <c r="L101" s="9">
        <f t="shared" si="26"/>
        <v>34115.8</v>
      </c>
      <c r="M101" s="19">
        <f>M102</f>
        <v>947.7</v>
      </c>
      <c r="N101" s="19">
        <f t="shared" si="27"/>
        <v>35063.5</v>
      </c>
    </row>
    <row r="102" spans="1:14" ht="12.75">
      <c r="A102" s="7"/>
      <c r="B102" s="5" t="s">
        <v>7</v>
      </c>
      <c r="C102" s="5">
        <v>441.6</v>
      </c>
      <c r="D102" s="10">
        <f>C102/I102</f>
        <v>0.7640138408304499</v>
      </c>
      <c r="E102" s="10">
        <f>2028.4-934.7</f>
        <v>1093.7</v>
      </c>
      <c r="F102" s="10">
        <f>E102/K102</f>
        <v>1.8922145328719724</v>
      </c>
      <c r="G102" s="10">
        <f>3594.4+33.5-C102-E102-M102</f>
        <v>1144.9000000000003</v>
      </c>
      <c r="H102" s="10">
        <f>G102/I102</f>
        <v>1.9807958477508656</v>
      </c>
      <c r="I102" s="73">
        <f t="shared" si="25"/>
        <v>578</v>
      </c>
      <c r="J102" s="10">
        <f>(D102+F102+H102)</f>
        <v>4.637024221453288</v>
      </c>
      <c r="K102" s="17">
        <f>K101</f>
        <v>578</v>
      </c>
      <c r="L102" s="18">
        <f t="shared" si="26"/>
        <v>2680.2000000000003</v>
      </c>
      <c r="M102" s="21">
        <v>947.7</v>
      </c>
      <c r="N102" s="21">
        <f t="shared" si="27"/>
        <v>3627.9000000000005</v>
      </c>
    </row>
    <row r="103" spans="1:14" ht="12.75">
      <c r="A103" s="7"/>
      <c r="B103" s="5" t="s">
        <v>155</v>
      </c>
      <c r="C103" s="5">
        <v>28331.1</v>
      </c>
      <c r="D103" s="10">
        <f>C103/I103</f>
        <v>49.015743944636675</v>
      </c>
      <c r="E103" s="10"/>
      <c r="F103" s="10"/>
      <c r="G103" s="10">
        <f>31292.7+142.9-C103-E103-M103</f>
        <v>3104.5000000000036</v>
      </c>
      <c r="H103" s="10">
        <f>G103/I103</f>
        <v>5.371107266435993</v>
      </c>
      <c r="I103" s="73">
        <f t="shared" si="25"/>
        <v>578</v>
      </c>
      <c r="J103" s="10">
        <f>(D103+F103+H103)</f>
        <v>54.38685121107267</v>
      </c>
      <c r="K103" s="17">
        <f>K101</f>
        <v>578</v>
      </c>
      <c r="L103" s="18">
        <f t="shared" si="26"/>
        <v>31435.600000000002</v>
      </c>
      <c r="M103" s="21"/>
      <c r="N103" s="21">
        <f t="shared" si="27"/>
        <v>31435.600000000002</v>
      </c>
    </row>
    <row r="104" spans="1:14" ht="12.75">
      <c r="A104" s="7">
        <v>30</v>
      </c>
      <c r="B104" s="5" t="s">
        <v>38</v>
      </c>
      <c r="C104" s="9">
        <f aca="true" t="shared" si="35" ref="C104:H104">C105+C106</f>
        <v>32166.5</v>
      </c>
      <c r="D104" s="9">
        <f t="shared" si="35"/>
        <v>52.133711507293356</v>
      </c>
      <c r="E104" s="9">
        <f t="shared" si="35"/>
        <v>944.4999999999998</v>
      </c>
      <c r="F104" s="9">
        <f t="shared" si="35"/>
        <v>1.530794165316045</v>
      </c>
      <c r="G104" s="9">
        <f t="shared" si="35"/>
        <v>4389.799999999998</v>
      </c>
      <c r="H104" s="9">
        <f t="shared" si="35"/>
        <v>7.11474878444084</v>
      </c>
      <c r="I104" s="28">
        <f t="shared" si="25"/>
        <v>617</v>
      </c>
      <c r="J104" s="9">
        <f>J105+J106</f>
        <v>60.779254457050236</v>
      </c>
      <c r="K104" s="74">
        <v>617</v>
      </c>
      <c r="L104" s="9">
        <f t="shared" si="26"/>
        <v>37500.799999999996</v>
      </c>
      <c r="M104" s="19">
        <f>M105</f>
        <v>1668.2</v>
      </c>
      <c r="N104" s="19">
        <f t="shared" si="27"/>
        <v>39168.99999999999</v>
      </c>
    </row>
    <row r="105" spans="1:14" ht="12.75">
      <c r="A105" s="7"/>
      <c r="B105" s="5" t="s">
        <v>7</v>
      </c>
      <c r="C105" s="5">
        <v>436</v>
      </c>
      <c r="D105" s="10">
        <f>C105/I105</f>
        <v>0.706645056726094</v>
      </c>
      <c r="E105" s="10">
        <f>2132.7-1188.2</f>
        <v>944.4999999999998</v>
      </c>
      <c r="F105" s="10">
        <f>E105/K105</f>
        <v>1.530794165316045</v>
      </c>
      <c r="G105" s="10">
        <f>4386.9+22-C105-E105-M105</f>
        <v>1360.1999999999996</v>
      </c>
      <c r="H105" s="10">
        <f>G105/I105</f>
        <v>2.2045380875202585</v>
      </c>
      <c r="I105" s="73">
        <f t="shared" si="25"/>
        <v>617</v>
      </c>
      <c r="J105" s="10">
        <f>(D105+F105+H105)</f>
        <v>4.441977309562398</v>
      </c>
      <c r="K105" s="17">
        <f>K104</f>
        <v>617</v>
      </c>
      <c r="L105" s="18">
        <f t="shared" si="26"/>
        <v>2740.6999999999994</v>
      </c>
      <c r="M105" s="21">
        <v>1668.2</v>
      </c>
      <c r="N105" s="21">
        <f t="shared" si="27"/>
        <v>4408.9</v>
      </c>
    </row>
    <row r="106" spans="1:14" ht="12.75">
      <c r="A106" s="7"/>
      <c r="B106" s="5" t="s">
        <v>155</v>
      </c>
      <c r="C106" s="5">
        <v>31730.5</v>
      </c>
      <c r="D106" s="10">
        <f>C106/I106</f>
        <v>51.42706645056726</v>
      </c>
      <c r="E106" s="10"/>
      <c r="F106" s="10"/>
      <c r="G106" s="10">
        <f>34675+85.1-C106-E106-M106</f>
        <v>3029.5999999999985</v>
      </c>
      <c r="H106" s="10">
        <f>G106/I106</f>
        <v>4.910210696920581</v>
      </c>
      <c r="I106" s="73">
        <f t="shared" si="25"/>
        <v>617</v>
      </c>
      <c r="J106" s="10">
        <f>(D106+F106+H106)</f>
        <v>56.33727714748784</v>
      </c>
      <c r="K106" s="17">
        <f>K104</f>
        <v>617</v>
      </c>
      <c r="L106" s="18">
        <f t="shared" si="26"/>
        <v>34760.1</v>
      </c>
      <c r="M106" s="21"/>
      <c r="N106" s="21">
        <f t="shared" si="27"/>
        <v>34760.1</v>
      </c>
    </row>
    <row r="107" spans="1:14" ht="12.75">
      <c r="A107" s="7">
        <v>31</v>
      </c>
      <c r="B107" s="5" t="s">
        <v>39</v>
      </c>
      <c r="C107" s="9">
        <f aca="true" t="shared" si="36" ref="C107:H107">C108+C109</f>
        <v>26513.2</v>
      </c>
      <c r="D107" s="9">
        <f t="shared" si="36"/>
        <v>56.41106382978723</v>
      </c>
      <c r="E107" s="9">
        <f t="shared" si="36"/>
        <v>678.5</v>
      </c>
      <c r="F107" s="9">
        <f t="shared" si="36"/>
        <v>1.4436170212765957</v>
      </c>
      <c r="G107" s="9">
        <f t="shared" si="36"/>
        <v>3204.600000000001</v>
      </c>
      <c r="H107" s="9">
        <f t="shared" si="36"/>
        <v>6.818297872340428</v>
      </c>
      <c r="I107" s="28">
        <f t="shared" si="25"/>
        <v>470</v>
      </c>
      <c r="J107" s="9">
        <f>J108+J109</f>
        <v>64.67297872340426</v>
      </c>
      <c r="K107" s="74">
        <v>470</v>
      </c>
      <c r="L107" s="9">
        <f t="shared" si="26"/>
        <v>30396.3</v>
      </c>
      <c r="M107" s="19">
        <f>M108</f>
        <v>684.6</v>
      </c>
      <c r="N107" s="19">
        <f t="shared" si="27"/>
        <v>31080.899999999998</v>
      </c>
    </row>
    <row r="108" spans="1:14" ht="12.75">
      <c r="A108" s="7"/>
      <c r="B108" s="5" t="s">
        <v>7</v>
      </c>
      <c r="C108" s="5">
        <v>660.2</v>
      </c>
      <c r="D108" s="10">
        <f>C108/I108</f>
        <v>1.4046808510638298</v>
      </c>
      <c r="E108" s="10">
        <f>1271.2-592.7</f>
        <v>678.5</v>
      </c>
      <c r="F108" s="10">
        <f>E108/K108</f>
        <v>1.4436170212765957</v>
      </c>
      <c r="G108" s="10">
        <f>2908.4+4.8-E108-C108-M108</f>
        <v>889.9000000000002</v>
      </c>
      <c r="H108" s="10">
        <f>G108/I108</f>
        <v>1.8934042553191495</v>
      </c>
      <c r="I108" s="73">
        <f t="shared" si="25"/>
        <v>470</v>
      </c>
      <c r="J108" s="10">
        <f>(D108+F108+H108)</f>
        <v>4.7417021276595746</v>
      </c>
      <c r="K108" s="17">
        <f>K107</f>
        <v>470</v>
      </c>
      <c r="L108" s="18">
        <f t="shared" si="26"/>
        <v>2228.6</v>
      </c>
      <c r="M108" s="21">
        <v>684.6</v>
      </c>
      <c r="N108" s="21">
        <f t="shared" si="27"/>
        <v>2913.2</v>
      </c>
    </row>
    <row r="109" spans="1:14" ht="12.75">
      <c r="A109" s="7"/>
      <c r="B109" s="5" t="s">
        <v>155</v>
      </c>
      <c r="C109" s="5">
        <v>25853</v>
      </c>
      <c r="D109" s="10">
        <f>C109/I109</f>
        <v>55.0063829787234</v>
      </c>
      <c r="E109" s="10"/>
      <c r="F109" s="10"/>
      <c r="G109" s="10">
        <f>28076.5+91.2-E109-C109-M109</f>
        <v>2314.7000000000007</v>
      </c>
      <c r="H109" s="10">
        <f>G109/I109</f>
        <v>4.9248936170212785</v>
      </c>
      <c r="I109" s="73">
        <f t="shared" si="25"/>
        <v>470</v>
      </c>
      <c r="J109" s="10">
        <f>(D109+F109+H109)</f>
        <v>59.93127659574468</v>
      </c>
      <c r="K109" s="17">
        <f>K107</f>
        <v>470</v>
      </c>
      <c r="L109" s="18">
        <f t="shared" si="26"/>
        <v>28167.699999999997</v>
      </c>
      <c r="M109" s="21"/>
      <c r="N109" s="21">
        <f t="shared" si="27"/>
        <v>28167.699999999997</v>
      </c>
    </row>
    <row r="110" spans="1:14" ht="12.75">
      <c r="A110" s="7">
        <v>32</v>
      </c>
      <c r="B110" s="5" t="s">
        <v>40</v>
      </c>
      <c r="C110" s="9">
        <f aca="true" t="shared" si="37" ref="C110:H110">C111+C112</f>
        <v>33698.8</v>
      </c>
      <c r="D110" s="9">
        <f t="shared" si="37"/>
        <v>43.82158647594279</v>
      </c>
      <c r="E110" s="9">
        <f t="shared" si="37"/>
        <v>993.5</v>
      </c>
      <c r="F110" s="9">
        <f t="shared" si="37"/>
        <v>1.2919375812743823</v>
      </c>
      <c r="G110" s="9">
        <f t="shared" si="37"/>
        <v>5244.5999999999985</v>
      </c>
      <c r="H110" s="9">
        <f t="shared" si="37"/>
        <v>6.820026007802339</v>
      </c>
      <c r="I110" s="28">
        <f t="shared" si="25"/>
        <v>769</v>
      </c>
      <c r="J110" s="9">
        <f>J111+J112</f>
        <v>51.9335500650195</v>
      </c>
      <c r="K110" s="74">
        <v>769</v>
      </c>
      <c r="L110" s="9">
        <f t="shared" si="26"/>
        <v>39936.899999999994</v>
      </c>
      <c r="M110" s="19">
        <f>M111</f>
        <v>983.6</v>
      </c>
      <c r="N110" s="19">
        <f t="shared" si="27"/>
        <v>40920.49999999999</v>
      </c>
    </row>
    <row r="111" spans="1:14" ht="12.75">
      <c r="A111" s="7"/>
      <c r="B111" s="5" t="s">
        <v>7</v>
      </c>
      <c r="C111" s="5">
        <v>622.5</v>
      </c>
      <c r="D111" s="10">
        <f>C111/I111</f>
        <v>0.8094928478543563</v>
      </c>
      <c r="E111" s="10">
        <f>1933.8-940.3</f>
        <v>993.5</v>
      </c>
      <c r="F111" s="10">
        <f>E111/K111</f>
        <v>1.2919375812743823</v>
      </c>
      <c r="G111" s="10">
        <f>3969.5+9.6-E111-C111-M111</f>
        <v>1379.5</v>
      </c>
      <c r="H111" s="10">
        <f>G111/I111</f>
        <v>1.7938881664499349</v>
      </c>
      <c r="I111" s="73">
        <f t="shared" si="25"/>
        <v>769</v>
      </c>
      <c r="J111" s="10">
        <f>(D111+F111+H111)</f>
        <v>3.895318595578673</v>
      </c>
      <c r="K111" s="17">
        <f>K110</f>
        <v>769</v>
      </c>
      <c r="L111" s="18">
        <f t="shared" si="26"/>
        <v>2995.4999999999995</v>
      </c>
      <c r="M111" s="21">
        <v>983.6</v>
      </c>
      <c r="N111" s="21">
        <f t="shared" si="27"/>
        <v>3979.0999999999995</v>
      </c>
    </row>
    <row r="112" spans="1:14" ht="12.75">
      <c r="A112" s="7"/>
      <c r="B112" s="5" t="s">
        <v>155</v>
      </c>
      <c r="C112" s="5">
        <v>33076.3</v>
      </c>
      <c r="D112" s="10">
        <f>C112/I112</f>
        <v>43.01209362808843</v>
      </c>
      <c r="E112" s="10"/>
      <c r="F112" s="10"/>
      <c r="G112" s="10">
        <f>36807.6+133.8-C112-E112-M112</f>
        <v>3865.0999999999985</v>
      </c>
      <c r="H112" s="10">
        <f>G112/I112</f>
        <v>5.026137841352404</v>
      </c>
      <c r="I112" s="73">
        <f t="shared" si="25"/>
        <v>769</v>
      </c>
      <c r="J112" s="10">
        <f>(D112+F112+H112)</f>
        <v>48.03823146944083</v>
      </c>
      <c r="K112" s="17">
        <f>K110</f>
        <v>769</v>
      </c>
      <c r="L112" s="18">
        <f t="shared" si="26"/>
        <v>36941.4</v>
      </c>
      <c r="M112" s="21"/>
      <c r="N112" s="21">
        <f t="shared" si="27"/>
        <v>36941.4</v>
      </c>
    </row>
    <row r="113" spans="1:14" ht="12.75">
      <c r="A113" s="7">
        <v>33</v>
      </c>
      <c r="B113" s="5" t="s">
        <v>41</v>
      </c>
      <c r="C113" s="9">
        <f aca="true" t="shared" si="38" ref="C113:H113">C114+C115</f>
        <v>12745.6</v>
      </c>
      <c r="D113" s="9">
        <f t="shared" si="38"/>
        <v>41.7888524590164</v>
      </c>
      <c r="E113" s="9">
        <f t="shared" si="38"/>
        <v>269.79999999999995</v>
      </c>
      <c r="F113" s="9">
        <f t="shared" si="38"/>
        <v>0.8845901639344261</v>
      </c>
      <c r="G113" s="9">
        <f t="shared" si="38"/>
        <v>2649.7999999999997</v>
      </c>
      <c r="H113" s="9">
        <f t="shared" si="38"/>
        <v>8.687868852459015</v>
      </c>
      <c r="I113" s="28">
        <f t="shared" si="25"/>
        <v>305</v>
      </c>
      <c r="J113" s="9">
        <f>J114+J115</f>
        <v>51.361311475409835</v>
      </c>
      <c r="K113" s="74">
        <v>305</v>
      </c>
      <c r="L113" s="9">
        <f t="shared" si="26"/>
        <v>15665.199999999999</v>
      </c>
      <c r="M113" s="19">
        <f>M114</f>
        <v>342.1</v>
      </c>
      <c r="N113" s="19">
        <f t="shared" si="27"/>
        <v>16007.3</v>
      </c>
    </row>
    <row r="114" spans="1:14" ht="12.75">
      <c r="A114" s="7"/>
      <c r="B114" s="5" t="s">
        <v>7</v>
      </c>
      <c r="C114" s="5">
        <v>256.5</v>
      </c>
      <c r="D114" s="10">
        <f>C114/I114</f>
        <v>0.840983606557377</v>
      </c>
      <c r="E114" s="10">
        <f>600.3-330.5</f>
        <v>269.79999999999995</v>
      </c>
      <c r="F114" s="10">
        <f>E114/K114</f>
        <v>0.8845901639344261</v>
      </c>
      <c r="G114" s="10">
        <f>1650.3+17.5-E114-C114-M114</f>
        <v>799.4</v>
      </c>
      <c r="H114" s="10">
        <f>G114/I114</f>
        <v>2.620983606557377</v>
      </c>
      <c r="I114" s="73">
        <f t="shared" si="25"/>
        <v>305</v>
      </c>
      <c r="J114" s="10">
        <f>(D114+F114+H114)</f>
        <v>4.34655737704918</v>
      </c>
      <c r="K114" s="17">
        <f>K113</f>
        <v>305</v>
      </c>
      <c r="L114" s="18">
        <f t="shared" si="26"/>
        <v>1325.6999999999998</v>
      </c>
      <c r="M114" s="21">
        <v>342.1</v>
      </c>
      <c r="N114" s="21">
        <f t="shared" si="27"/>
        <v>1667.7999999999997</v>
      </c>
    </row>
    <row r="115" spans="1:14" ht="12.75">
      <c r="A115" s="7"/>
      <c r="B115" s="5" t="s">
        <v>155</v>
      </c>
      <c r="C115" s="5">
        <v>12489.1</v>
      </c>
      <c r="D115" s="10">
        <f>C115/I115</f>
        <v>40.94786885245902</v>
      </c>
      <c r="E115" s="10"/>
      <c r="F115" s="10"/>
      <c r="G115" s="10">
        <f>14187.5+152-C115-E115-M115</f>
        <v>1850.3999999999996</v>
      </c>
      <c r="H115" s="10">
        <f>G115/I115</f>
        <v>6.066885245901638</v>
      </c>
      <c r="I115" s="73">
        <f t="shared" si="25"/>
        <v>305</v>
      </c>
      <c r="J115" s="10">
        <f>(D115+F115+H115)</f>
        <v>47.014754098360655</v>
      </c>
      <c r="K115" s="17">
        <f>K113</f>
        <v>305</v>
      </c>
      <c r="L115" s="18">
        <f t="shared" si="26"/>
        <v>14339.5</v>
      </c>
      <c r="M115" s="19"/>
      <c r="N115" s="21">
        <f t="shared" si="27"/>
        <v>14339.5</v>
      </c>
    </row>
    <row r="116" spans="1:14" ht="12.75">
      <c r="A116" s="7">
        <v>34</v>
      </c>
      <c r="B116" s="5" t="s">
        <v>42</v>
      </c>
      <c r="C116" s="9">
        <f aca="true" t="shared" si="39" ref="C116:H116">C117+C118</f>
        <v>15269.5</v>
      </c>
      <c r="D116" s="9">
        <f t="shared" si="39"/>
        <v>86.2683615819209</v>
      </c>
      <c r="E116" s="9">
        <f t="shared" si="39"/>
        <v>603.3999999999999</v>
      </c>
      <c r="F116" s="9">
        <f t="shared" si="39"/>
        <v>3.409039548022598</v>
      </c>
      <c r="G116" s="9">
        <f t="shared" si="39"/>
        <v>1715.0999999999997</v>
      </c>
      <c r="H116" s="9">
        <f t="shared" si="39"/>
        <v>9.689830508474575</v>
      </c>
      <c r="I116" s="28">
        <f t="shared" si="25"/>
        <v>177</v>
      </c>
      <c r="J116" s="9">
        <f>J117+J118</f>
        <v>99.36723163841808</v>
      </c>
      <c r="K116" s="74">
        <v>177</v>
      </c>
      <c r="L116" s="9">
        <f t="shared" si="26"/>
        <v>17588</v>
      </c>
      <c r="M116" s="19">
        <f>M117</f>
        <v>623.7</v>
      </c>
      <c r="N116" s="19">
        <f t="shared" si="27"/>
        <v>18211.7</v>
      </c>
    </row>
    <row r="117" spans="1:14" ht="12.75">
      <c r="A117" s="7"/>
      <c r="B117" s="5" t="s">
        <v>7</v>
      </c>
      <c r="C117" s="5">
        <v>344.8</v>
      </c>
      <c r="D117" s="10">
        <f>C117/I117</f>
        <v>1.9480225988700566</v>
      </c>
      <c r="E117" s="10">
        <f>1204.1-600.7</f>
        <v>603.3999999999999</v>
      </c>
      <c r="F117" s="10">
        <f>E117/K117</f>
        <v>3.409039548022598</v>
      </c>
      <c r="G117" s="10">
        <f>2257.1-E117-C117-M117</f>
        <v>685.2</v>
      </c>
      <c r="H117" s="10">
        <f>G117/I117</f>
        <v>3.8711864406779664</v>
      </c>
      <c r="I117" s="73">
        <f t="shared" si="25"/>
        <v>177</v>
      </c>
      <c r="J117" s="10">
        <f>(D117+F117+H117)</f>
        <v>9.22824858757062</v>
      </c>
      <c r="K117" s="17">
        <f>K116</f>
        <v>177</v>
      </c>
      <c r="L117" s="18">
        <f t="shared" si="26"/>
        <v>1633.3999999999999</v>
      </c>
      <c r="M117" s="21">
        <v>623.7</v>
      </c>
      <c r="N117" s="21">
        <f t="shared" si="27"/>
        <v>2257.1</v>
      </c>
    </row>
    <row r="118" spans="1:14" ht="12.75">
      <c r="A118" s="7"/>
      <c r="B118" s="5" t="s">
        <v>155</v>
      </c>
      <c r="C118" s="5">
        <v>14924.7</v>
      </c>
      <c r="D118" s="10">
        <f>C118/I118</f>
        <v>84.32033898305085</v>
      </c>
      <c r="E118" s="10"/>
      <c r="F118" s="10"/>
      <c r="G118" s="10">
        <f>15954.6-C118-E118-M118</f>
        <v>1029.8999999999996</v>
      </c>
      <c r="H118" s="10">
        <f>G118/I118</f>
        <v>5.818644067796608</v>
      </c>
      <c r="I118" s="73">
        <f t="shared" si="25"/>
        <v>177</v>
      </c>
      <c r="J118" s="10">
        <f>(D118+F118+H118)</f>
        <v>90.13898305084746</v>
      </c>
      <c r="K118" s="17">
        <f>K116</f>
        <v>177</v>
      </c>
      <c r="L118" s="18">
        <f t="shared" si="26"/>
        <v>15954.6</v>
      </c>
      <c r="M118" s="19"/>
      <c r="N118" s="21">
        <f t="shared" si="27"/>
        <v>15954.6</v>
      </c>
    </row>
    <row r="119" spans="1:14" ht="12.75">
      <c r="A119" s="7">
        <v>35</v>
      </c>
      <c r="B119" s="5" t="s">
        <v>43</v>
      </c>
      <c r="C119" s="9">
        <f aca="true" t="shared" si="40" ref="C119:H119">C120+C121</f>
        <v>43718.9</v>
      </c>
      <c r="D119" s="9">
        <f t="shared" si="40"/>
        <v>46.11698312236287</v>
      </c>
      <c r="E119" s="9">
        <f t="shared" si="40"/>
        <v>836.4999999999998</v>
      </c>
      <c r="F119" s="9">
        <f t="shared" si="40"/>
        <v>0.8823839662447255</v>
      </c>
      <c r="G119" s="9">
        <f t="shared" si="40"/>
        <v>7537.900000000003</v>
      </c>
      <c r="H119" s="9">
        <f t="shared" si="40"/>
        <v>7.951371308016881</v>
      </c>
      <c r="I119" s="28">
        <f t="shared" si="25"/>
        <v>948</v>
      </c>
      <c r="J119" s="9">
        <f>J120+J121</f>
        <v>54.95073839662447</v>
      </c>
      <c r="K119" s="74">
        <v>948</v>
      </c>
      <c r="L119" s="9">
        <f t="shared" si="26"/>
        <v>52093.3</v>
      </c>
      <c r="M119" s="19">
        <f>M120</f>
        <v>14517.1</v>
      </c>
      <c r="N119" s="19">
        <f t="shared" si="27"/>
        <v>66610.40000000001</v>
      </c>
    </row>
    <row r="120" spans="1:14" ht="12.75">
      <c r="A120" s="7"/>
      <c r="B120" s="5" t="s">
        <v>7</v>
      </c>
      <c r="C120" s="5">
        <v>1872.3</v>
      </c>
      <c r="D120" s="10">
        <f>C120/I120</f>
        <v>1.9749999999999999</v>
      </c>
      <c r="E120" s="10">
        <f>2341.7-1021.5-483.7</f>
        <v>836.4999999999998</v>
      </c>
      <c r="F120" s="10">
        <f>E120/K120</f>
        <v>0.8823839662447255</v>
      </c>
      <c r="G120" s="10">
        <f>19824.9+22.3-483.7-E120-C120-M120</f>
        <v>2137.6000000000004</v>
      </c>
      <c r="H120" s="10">
        <f>G120/I120</f>
        <v>2.2548523206751057</v>
      </c>
      <c r="I120" s="73">
        <f t="shared" si="25"/>
        <v>948</v>
      </c>
      <c r="J120" s="10">
        <f>(D120+F120+H120)</f>
        <v>5.112236286919831</v>
      </c>
      <c r="K120" s="17">
        <f>K119</f>
        <v>948</v>
      </c>
      <c r="L120" s="18">
        <f t="shared" si="26"/>
        <v>4846.4</v>
      </c>
      <c r="M120" s="21">
        <v>14517.1</v>
      </c>
      <c r="N120" s="21">
        <f t="shared" si="27"/>
        <v>19363.5</v>
      </c>
    </row>
    <row r="121" spans="1:14" ht="12.75">
      <c r="A121" s="7"/>
      <c r="B121" s="5" t="s">
        <v>155</v>
      </c>
      <c r="C121" s="5">
        <v>41846.6</v>
      </c>
      <c r="D121" s="10">
        <f>C121/I121</f>
        <v>44.141983122362866</v>
      </c>
      <c r="E121" s="10"/>
      <c r="F121" s="10"/>
      <c r="G121" s="10">
        <f>47101+145.9-C121-E121-M121</f>
        <v>5400.300000000003</v>
      </c>
      <c r="H121" s="10">
        <f>G121/I121</f>
        <v>5.696518987341776</v>
      </c>
      <c r="I121" s="73">
        <f t="shared" si="25"/>
        <v>948</v>
      </c>
      <c r="J121" s="10">
        <f>(D121+F121+H121)</f>
        <v>49.83850210970464</v>
      </c>
      <c r="K121" s="17">
        <f>K119</f>
        <v>948</v>
      </c>
      <c r="L121" s="18">
        <f t="shared" si="26"/>
        <v>47246.9</v>
      </c>
      <c r="M121" s="21"/>
      <c r="N121" s="21">
        <f t="shared" si="27"/>
        <v>47246.9</v>
      </c>
    </row>
    <row r="122" spans="1:14" s="53" customFormat="1" ht="12.75">
      <c r="A122" s="49">
        <v>36</v>
      </c>
      <c r="B122" s="50" t="s">
        <v>44</v>
      </c>
      <c r="C122" s="51">
        <f aca="true" t="shared" si="41" ref="C122:H122">C123+C124</f>
        <v>15937</v>
      </c>
      <c r="D122" s="9">
        <f t="shared" si="41"/>
        <v>101.50955414012739</v>
      </c>
      <c r="E122" s="51">
        <f t="shared" si="41"/>
        <v>497.29999999999995</v>
      </c>
      <c r="F122" s="51">
        <f t="shared" si="41"/>
        <v>3.167515923566879</v>
      </c>
      <c r="G122" s="51">
        <f t="shared" si="41"/>
        <v>1334.2999999999984</v>
      </c>
      <c r="H122" s="51">
        <f t="shared" si="41"/>
        <v>8.49872611464967</v>
      </c>
      <c r="I122" s="28">
        <f t="shared" si="25"/>
        <v>157</v>
      </c>
      <c r="J122" s="51">
        <f>J123+J124</f>
        <v>113.17579617834394</v>
      </c>
      <c r="K122" s="74">
        <v>157</v>
      </c>
      <c r="L122" s="51">
        <f t="shared" si="26"/>
        <v>17768.6</v>
      </c>
      <c r="M122" s="51">
        <f>M123</f>
        <v>387.5</v>
      </c>
      <c r="N122" s="51">
        <f t="shared" si="27"/>
        <v>18156.1</v>
      </c>
    </row>
    <row r="123" spans="1:14" s="53" customFormat="1" ht="12.75">
      <c r="A123" s="49"/>
      <c r="B123" s="50" t="s">
        <v>7</v>
      </c>
      <c r="C123" s="50">
        <v>244.1</v>
      </c>
      <c r="D123" s="10">
        <f>C123/I123</f>
        <v>1.5547770700636943</v>
      </c>
      <c r="E123" s="54">
        <f>849.9-352.6</f>
        <v>497.29999999999995</v>
      </c>
      <c r="F123" s="54">
        <f>E123/K123</f>
        <v>3.167515923566879</v>
      </c>
      <c r="G123" s="10">
        <f>1601.7-E123-C123-M123</f>
        <v>472.80000000000007</v>
      </c>
      <c r="H123" s="54">
        <f>G123/I123</f>
        <v>3.0114649681528665</v>
      </c>
      <c r="I123" s="73">
        <f t="shared" si="25"/>
        <v>157</v>
      </c>
      <c r="J123" s="54">
        <f>(D123+F123+H123)</f>
        <v>7.733757961783439</v>
      </c>
      <c r="K123" s="17">
        <f>K122</f>
        <v>157</v>
      </c>
      <c r="L123" s="55">
        <f t="shared" si="26"/>
        <v>1214.2</v>
      </c>
      <c r="M123" s="55">
        <v>387.5</v>
      </c>
      <c r="N123" s="55">
        <f t="shared" si="27"/>
        <v>1601.7</v>
      </c>
    </row>
    <row r="124" spans="1:14" ht="12.75">
      <c r="A124" s="7"/>
      <c r="B124" s="5" t="s">
        <v>155</v>
      </c>
      <c r="C124" s="5">
        <v>15692.9</v>
      </c>
      <c r="D124" s="10">
        <f>C124/I124</f>
        <v>99.9547770700637</v>
      </c>
      <c r="E124" s="10"/>
      <c r="F124" s="10"/>
      <c r="G124" s="10">
        <f>16493.6+60.8-C124-E124-M124</f>
        <v>861.4999999999982</v>
      </c>
      <c r="H124" s="10">
        <f>G124/I124</f>
        <v>5.487261146496803</v>
      </c>
      <c r="I124" s="73">
        <f t="shared" si="25"/>
        <v>157</v>
      </c>
      <c r="J124" s="10">
        <f>(D124+F124+H124)</f>
        <v>105.4420382165605</v>
      </c>
      <c r="K124" s="17">
        <f>K122</f>
        <v>157</v>
      </c>
      <c r="L124" s="18">
        <f t="shared" si="26"/>
        <v>16554.399999999998</v>
      </c>
      <c r="M124" s="21"/>
      <c r="N124" s="21">
        <f t="shared" si="27"/>
        <v>16554.399999999998</v>
      </c>
    </row>
    <row r="125" spans="1:14" ht="12.75">
      <c r="A125" s="7">
        <v>37</v>
      </c>
      <c r="B125" s="5" t="s">
        <v>45</v>
      </c>
      <c r="C125" s="9">
        <f aca="true" t="shared" si="42" ref="C125:H125">C126+C127</f>
        <v>15652.5</v>
      </c>
      <c r="D125" s="9">
        <f t="shared" si="42"/>
        <v>116.80970149253731</v>
      </c>
      <c r="E125" s="9">
        <f t="shared" si="42"/>
        <v>789.3</v>
      </c>
      <c r="F125" s="9">
        <f t="shared" si="42"/>
        <v>5.890298507462687</v>
      </c>
      <c r="G125" s="9">
        <f t="shared" si="42"/>
        <v>2718.800000000001</v>
      </c>
      <c r="H125" s="9">
        <f t="shared" si="42"/>
        <v>20.28955223880598</v>
      </c>
      <c r="I125" s="28">
        <f t="shared" si="25"/>
        <v>134</v>
      </c>
      <c r="J125" s="9">
        <f>J126+J127</f>
        <v>142.98955223880597</v>
      </c>
      <c r="K125" s="74">
        <v>134</v>
      </c>
      <c r="L125" s="9">
        <f t="shared" si="26"/>
        <v>19160.6</v>
      </c>
      <c r="M125" s="19">
        <f>M126</f>
        <v>737.8</v>
      </c>
      <c r="N125" s="19">
        <f t="shared" si="27"/>
        <v>19898.399999999998</v>
      </c>
    </row>
    <row r="126" spans="1:14" ht="12.75">
      <c r="A126" s="7"/>
      <c r="B126" s="5" t="s">
        <v>7</v>
      </c>
      <c r="C126" s="5">
        <v>305.2</v>
      </c>
      <c r="D126" s="10">
        <f>C126/I126</f>
        <v>2.2776119402985073</v>
      </c>
      <c r="E126" s="10">
        <f>1397.8-608.5</f>
        <v>789.3</v>
      </c>
      <c r="F126" s="10">
        <f>E126/K126</f>
        <v>5.890298507462687</v>
      </c>
      <c r="G126" s="10">
        <f>3443.7-E126-C126-M126</f>
        <v>1611.3999999999999</v>
      </c>
      <c r="H126" s="10">
        <f>G126/I126</f>
        <v>12.025373134328357</v>
      </c>
      <c r="I126" s="73">
        <f t="shared" si="25"/>
        <v>134</v>
      </c>
      <c r="J126" s="10">
        <f>(D126+F126+H126)</f>
        <v>20.19328358208955</v>
      </c>
      <c r="K126" s="17">
        <f>K125</f>
        <v>134</v>
      </c>
      <c r="L126" s="18">
        <f t="shared" si="26"/>
        <v>2705.8999999999996</v>
      </c>
      <c r="M126" s="21">
        <v>737.8</v>
      </c>
      <c r="N126" s="21">
        <f t="shared" si="27"/>
        <v>3443.7</v>
      </c>
    </row>
    <row r="127" spans="1:14" ht="12.75">
      <c r="A127" s="7"/>
      <c r="B127" s="5" t="s">
        <v>155</v>
      </c>
      <c r="C127" s="5">
        <v>15347.3</v>
      </c>
      <c r="D127" s="10">
        <f>C127/I127</f>
        <v>114.5320895522388</v>
      </c>
      <c r="E127" s="10"/>
      <c r="F127" s="10"/>
      <c r="G127" s="10">
        <f>16454.7-C127-E127-M127</f>
        <v>1107.4000000000015</v>
      </c>
      <c r="H127" s="10">
        <f>G127/I127</f>
        <v>8.264179104477623</v>
      </c>
      <c r="I127" s="73">
        <f t="shared" si="25"/>
        <v>134</v>
      </c>
      <c r="J127" s="10">
        <f>(D127+F127+H127)</f>
        <v>122.79626865671642</v>
      </c>
      <c r="K127" s="17">
        <f>K125</f>
        <v>134</v>
      </c>
      <c r="L127" s="18">
        <f t="shared" si="26"/>
        <v>16454.7</v>
      </c>
      <c r="M127" s="21"/>
      <c r="N127" s="21">
        <f t="shared" si="27"/>
        <v>16454.7</v>
      </c>
    </row>
    <row r="128" spans="1:14" ht="12.75">
      <c r="A128" s="7">
        <v>38</v>
      </c>
      <c r="B128" s="5" t="s">
        <v>46</v>
      </c>
      <c r="C128" s="9">
        <f aca="true" t="shared" si="43" ref="C128:H128">C129+C130</f>
        <v>13534.099999999999</v>
      </c>
      <c r="D128" s="9">
        <f t="shared" si="43"/>
        <v>104.915503875969</v>
      </c>
      <c r="E128" s="9">
        <f t="shared" si="43"/>
        <v>551.7</v>
      </c>
      <c r="F128" s="9">
        <f t="shared" si="43"/>
        <v>4.276744186046512</v>
      </c>
      <c r="G128" s="9">
        <f t="shared" si="43"/>
        <v>2720.800000000001</v>
      </c>
      <c r="H128" s="9">
        <f t="shared" si="43"/>
        <v>21.09147286821706</v>
      </c>
      <c r="I128" s="28">
        <f t="shared" si="25"/>
        <v>129</v>
      </c>
      <c r="J128" s="9">
        <f>J129+J130</f>
        <v>130.28372093023256</v>
      </c>
      <c r="K128" s="74">
        <v>129</v>
      </c>
      <c r="L128" s="9">
        <f t="shared" si="26"/>
        <v>16806.600000000002</v>
      </c>
      <c r="M128" s="19">
        <f>M129</f>
        <v>499</v>
      </c>
      <c r="N128" s="19">
        <f t="shared" si="27"/>
        <v>17305.600000000002</v>
      </c>
    </row>
    <row r="129" spans="1:14" ht="12.75">
      <c r="A129" s="7"/>
      <c r="B129" s="5" t="s">
        <v>7</v>
      </c>
      <c r="C129" s="5">
        <v>242.8</v>
      </c>
      <c r="D129" s="10">
        <f>C129/I129</f>
        <v>1.882170542635659</v>
      </c>
      <c r="E129" s="10">
        <f>970.7-419</f>
        <v>551.7</v>
      </c>
      <c r="F129" s="10">
        <f>E129/K129</f>
        <v>4.276744186046512</v>
      </c>
      <c r="G129" s="10">
        <f>3109-E129-C129-M129</f>
        <v>1815.5</v>
      </c>
      <c r="H129" s="10">
        <f>G129/I129</f>
        <v>14.073643410852712</v>
      </c>
      <c r="I129" s="73">
        <f t="shared" si="25"/>
        <v>129</v>
      </c>
      <c r="J129" s="10">
        <f>(D129+F129+H129)</f>
        <v>20.232558139534884</v>
      </c>
      <c r="K129" s="17">
        <f>K128</f>
        <v>129</v>
      </c>
      <c r="L129" s="18">
        <f t="shared" si="26"/>
        <v>2610</v>
      </c>
      <c r="M129" s="21">
        <v>499</v>
      </c>
      <c r="N129" s="21">
        <f t="shared" si="27"/>
        <v>3109</v>
      </c>
    </row>
    <row r="130" spans="1:14" ht="12.75">
      <c r="A130" s="7"/>
      <c r="B130" s="5" t="s">
        <v>155</v>
      </c>
      <c r="C130" s="5">
        <v>13291.3</v>
      </c>
      <c r="D130" s="10">
        <f>C130/I130</f>
        <v>103.03333333333333</v>
      </c>
      <c r="E130" s="10"/>
      <c r="F130" s="10"/>
      <c r="G130" s="10">
        <f>14196.6-C130-E130-M130</f>
        <v>905.3000000000011</v>
      </c>
      <c r="H130" s="10">
        <f>G130/I130</f>
        <v>7.01782945736435</v>
      </c>
      <c r="I130" s="73">
        <f t="shared" si="25"/>
        <v>129</v>
      </c>
      <c r="J130" s="10">
        <f>(D130+F130+H130)</f>
        <v>110.05116279069767</v>
      </c>
      <c r="K130" s="17">
        <f>K128</f>
        <v>129</v>
      </c>
      <c r="L130" s="18">
        <f t="shared" si="26"/>
        <v>14196.6</v>
      </c>
      <c r="M130" s="19"/>
      <c r="N130" s="21">
        <f t="shared" si="27"/>
        <v>14196.6</v>
      </c>
    </row>
    <row r="131" spans="1:14" s="53" customFormat="1" ht="12.75">
      <c r="A131" s="49">
        <v>39</v>
      </c>
      <c r="B131" s="50" t="s">
        <v>47</v>
      </c>
      <c r="C131" s="51">
        <f aca="true" t="shared" si="44" ref="C131:H131">C132+C133</f>
        <v>13975</v>
      </c>
      <c r="D131" s="51">
        <f t="shared" si="44"/>
        <v>92.5496688741722</v>
      </c>
      <c r="E131" s="51">
        <f t="shared" si="44"/>
        <v>823.7</v>
      </c>
      <c r="F131" s="51">
        <f t="shared" si="44"/>
        <v>5.454966887417219</v>
      </c>
      <c r="G131" s="51">
        <f t="shared" si="44"/>
        <v>3841.8</v>
      </c>
      <c r="H131" s="51">
        <f t="shared" si="44"/>
        <v>25.442384105960265</v>
      </c>
      <c r="I131" s="78">
        <f t="shared" si="25"/>
        <v>151</v>
      </c>
      <c r="J131" s="51">
        <f>J132+J133</f>
        <v>123.44701986754967</v>
      </c>
      <c r="K131" s="79">
        <v>151</v>
      </c>
      <c r="L131" s="51">
        <f t="shared" si="26"/>
        <v>18640.5</v>
      </c>
      <c r="M131" s="51">
        <f>M132</f>
        <v>874.7</v>
      </c>
      <c r="N131" s="51">
        <f t="shared" si="27"/>
        <v>19515.2</v>
      </c>
    </row>
    <row r="132" spans="1:14" s="53" customFormat="1" ht="12.75">
      <c r="A132" s="49"/>
      <c r="B132" s="50" t="s">
        <v>7</v>
      </c>
      <c r="C132" s="50">
        <v>207.9</v>
      </c>
      <c r="D132" s="10">
        <f>C132/I132</f>
        <v>1.3768211920529803</v>
      </c>
      <c r="E132" s="54">
        <f>1647.4-823.7</f>
        <v>823.7</v>
      </c>
      <c r="F132" s="54">
        <f>E132/K132</f>
        <v>5.454966887417219</v>
      </c>
      <c r="G132" s="10">
        <f>4692-E132-C132-M132</f>
        <v>2785.7</v>
      </c>
      <c r="H132" s="54">
        <f>G132/I132</f>
        <v>18.448344370860926</v>
      </c>
      <c r="I132" s="86">
        <f t="shared" si="25"/>
        <v>151</v>
      </c>
      <c r="J132" s="54">
        <f>(D132+F132+H132)</f>
        <v>25.280132450331124</v>
      </c>
      <c r="K132" s="52">
        <f>K131</f>
        <v>151</v>
      </c>
      <c r="L132" s="55">
        <f t="shared" si="26"/>
        <v>3817.2999999999997</v>
      </c>
      <c r="M132" s="55">
        <v>874.7</v>
      </c>
      <c r="N132" s="55">
        <f t="shared" si="27"/>
        <v>4692</v>
      </c>
    </row>
    <row r="133" spans="1:14" ht="12.75">
      <c r="A133" s="7"/>
      <c r="B133" s="5" t="s">
        <v>155</v>
      </c>
      <c r="C133" s="5">
        <v>13767.1</v>
      </c>
      <c r="D133" s="10">
        <f>C133/I133</f>
        <v>91.17284768211921</v>
      </c>
      <c r="E133" s="10"/>
      <c r="F133" s="10"/>
      <c r="G133" s="10">
        <f>14768.5+54.7-C133-E133-M133</f>
        <v>1056.1000000000004</v>
      </c>
      <c r="H133" s="10">
        <f>G133/I133</f>
        <v>6.99403973509934</v>
      </c>
      <c r="I133" s="73">
        <f t="shared" si="25"/>
        <v>151</v>
      </c>
      <c r="J133" s="10">
        <f>(D133+F133+H133)</f>
        <v>98.16688741721855</v>
      </c>
      <c r="K133" s="17">
        <f>K131</f>
        <v>151</v>
      </c>
      <c r="L133" s="18">
        <f t="shared" si="26"/>
        <v>14823.2</v>
      </c>
      <c r="M133" s="19"/>
      <c r="N133" s="21">
        <f t="shared" si="27"/>
        <v>14823.2</v>
      </c>
    </row>
    <row r="134" spans="1:14" ht="12.75">
      <c r="A134" s="7">
        <v>40</v>
      </c>
      <c r="B134" s="5" t="s">
        <v>48</v>
      </c>
      <c r="C134" s="9">
        <f aca="true" t="shared" si="45" ref="C134:H134">C135+C136</f>
        <v>32935.9</v>
      </c>
      <c r="D134" s="9">
        <f t="shared" si="45"/>
        <v>69.04800838574423</v>
      </c>
      <c r="E134" s="9">
        <f t="shared" si="45"/>
        <v>0</v>
      </c>
      <c r="F134" s="9">
        <f t="shared" si="45"/>
        <v>0</v>
      </c>
      <c r="G134" s="9">
        <f t="shared" si="45"/>
        <v>3325.8000000000015</v>
      </c>
      <c r="H134" s="9">
        <f t="shared" si="45"/>
        <v>6.97232704402516</v>
      </c>
      <c r="I134" s="28">
        <f t="shared" si="25"/>
        <v>477</v>
      </c>
      <c r="J134" s="9">
        <f>J135+J136</f>
        <v>76.02033542976939</v>
      </c>
      <c r="K134" s="74">
        <v>477</v>
      </c>
      <c r="L134" s="9">
        <f t="shared" si="26"/>
        <v>36261.7</v>
      </c>
      <c r="M134" s="19">
        <f>M135</f>
        <v>12.5</v>
      </c>
      <c r="N134" s="19">
        <f t="shared" si="27"/>
        <v>36274.2</v>
      </c>
    </row>
    <row r="135" spans="1:14" ht="12.75">
      <c r="A135" s="7"/>
      <c r="B135" s="5" t="s">
        <v>7</v>
      </c>
      <c r="C135" s="5">
        <v>623.9</v>
      </c>
      <c r="D135" s="10">
        <f>C135/I135</f>
        <v>1.3079664570230607</v>
      </c>
      <c r="E135" s="10"/>
      <c r="F135" s="10"/>
      <c r="G135" s="10">
        <f>1281.2+60.6-E135-C135-M135</f>
        <v>705.4</v>
      </c>
      <c r="H135" s="10">
        <f>G135/I135</f>
        <v>1.478825995807128</v>
      </c>
      <c r="I135" s="73">
        <f t="shared" si="25"/>
        <v>477</v>
      </c>
      <c r="J135" s="10">
        <f>(D135+F135+H135)</f>
        <v>2.7867924528301886</v>
      </c>
      <c r="K135" s="17">
        <f>K134</f>
        <v>477</v>
      </c>
      <c r="L135" s="18">
        <f t="shared" si="26"/>
        <v>1329.3</v>
      </c>
      <c r="M135" s="21">
        <v>12.5</v>
      </c>
      <c r="N135" s="21">
        <f t="shared" si="27"/>
        <v>1341.8</v>
      </c>
    </row>
    <row r="136" spans="1:14" ht="12.75">
      <c r="A136" s="7"/>
      <c r="B136" s="5" t="s">
        <v>155</v>
      </c>
      <c r="C136" s="5">
        <v>32312</v>
      </c>
      <c r="D136" s="10">
        <f>C136/I136</f>
        <v>67.74004192872117</v>
      </c>
      <c r="E136" s="10">
        <v>0</v>
      </c>
      <c r="F136" s="10">
        <f>E136/K136</f>
        <v>0</v>
      </c>
      <c r="G136" s="10">
        <f>34695.3+237.1-C136-E136-M136</f>
        <v>2620.4000000000015</v>
      </c>
      <c r="H136" s="10">
        <f>G136/I136</f>
        <v>5.493501048218032</v>
      </c>
      <c r="I136" s="73">
        <f t="shared" si="25"/>
        <v>477</v>
      </c>
      <c r="J136" s="10">
        <f>(D136+F136+H136)</f>
        <v>73.2335429769392</v>
      </c>
      <c r="K136" s="17">
        <f>K134</f>
        <v>477</v>
      </c>
      <c r="L136" s="18">
        <f t="shared" si="26"/>
        <v>34932.4</v>
      </c>
      <c r="M136" s="21"/>
      <c r="N136" s="21">
        <f t="shared" si="27"/>
        <v>34932.4</v>
      </c>
    </row>
    <row r="137" spans="1:14" ht="12.75">
      <c r="A137" s="7">
        <v>41</v>
      </c>
      <c r="B137" s="5" t="s">
        <v>49</v>
      </c>
      <c r="C137" s="9">
        <f aca="true" t="shared" si="46" ref="C137:H137">C138+C139</f>
        <v>9664</v>
      </c>
      <c r="D137" s="9">
        <f t="shared" si="46"/>
        <v>112.37209302325581</v>
      </c>
      <c r="E137" s="9">
        <f t="shared" si="46"/>
        <v>340.4</v>
      </c>
      <c r="F137" s="9">
        <f t="shared" si="46"/>
        <v>3.9581395348837205</v>
      </c>
      <c r="G137" s="9">
        <f t="shared" si="46"/>
        <v>597.4000000000001</v>
      </c>
      <c r="H137" s="9">
        <f t="shared" si="46"/>
        <v>6.946511627906977</v>
      </c>
      <c r="I137" s="28">
        <f t="shared" si="25"/>
        <v>86</v>
      </c>
      <c r="J137" s="9">
        <f>J138+J139</f>
        <v>123.27674418604651</v>
      </c>
      <c r="K137" s="74">
        <v>86</v>
      </c>
      <c r="L137" s="9">
        <f t="shared" si="26"/>
        <v>10601.800000000001</v>
      </c>
      <c r="M137" s="19">
        <f>M138</f>
        <v>202.3</v>
      </c>
      <c r="N137" s="19">
        <f t="shared" si="27"/>
        <v>10804.1</v>
      </c>
    </row>
    <row r="138" spans="1:14" ht="12.75">
      <c r="A138" s="7"/>
      <c r="B138" s="5" t="s">
        <v>7</v>
      </c>
      <c r="C138" s="5">
        <v>1353.8</v>
      </c>
      <c r="D138" s="10">
        <f>C138/I138</f>
        <v>15.741860465116279</v>
      </c>
      <c r="E138" s="10">
        <v>340.4</v>
      </c>
      <c r="F138" s="10">
        <f>E138/K138</f>
        <v>3.9581395348837205</v>
      </c>
      <c r="G138" s="10">
        <f>2206.9-E138-C138-M138</f>
        <v>310.40000000000003</v>
      </c>
      <c r="H138" s="10">
        <f>G138/I138</f>
        <v>3.6093023255813956</v>
      </c>
      <c r="I138" s="73">
        <f t="shared" si="25"/>
        <v>86</v>
      </c>
      <c r="J138" s="10">
        <f>(D138+F138+H138)</f>
        <v>23.309302325581395</v>
      </c>
      <c r="K138" s="17">
        <f>K137</f>
        <v>86</v>
      </c>
      <c r="L138" s="18">
        <f t="shared" si="26"/>
        <v>2004.6</v>
      </c>
      <c r="M138" s="21">
        <v>202.3</v>
      </c>
      <c r="N138" s="21">
        <f t="shared" si="27"/>
        <v>2206.9</v>
      </c>
    </row>
    <row r="139" spans="1:14" ht="12.75">
      <c r="A139" s="7"/>
      <c r="B139" s="5" t="s">
        <v>155</v>
      </c>
      <c r="C139" s="5">
        <v>8310.2</v>
      </c>
      <c r="D139" s="10">
        <f>C139/I139</f>
        <v>96.63023255813954</v>
      </c>
      <c r="E139" s="10"/>
      <c r="F139" s="10"/>
      <c r="G139" s="10">
        <f>8597.2-C139-E139-M139</f>
        <v>287</v>
      </c>
      <c r="H139" s="10">
        <f>G139/I139</f>
        <v>3.3372093023255816</v>
      </c>
      <c r="I139" s="73">
        <f t="shared" si="25"/>
        <v>86</v>
      </c>
      <c r="J139" s="10">
        <f>(D139+F139+H139)</f>
        <v>99.96744186046512</v>
      </c>
      <c r="K139" s="17">
        <f>K137</f>
        <v>86</v>
      </c>
      <c r="L139" s="18">
        <f t="shared" si="26"/>
        <v>8597.2</v>
      </c>
      <c r="M139" s="21"/>
      <c r="N139" s="18">
        <f t="shared" si="27"/>
        <v>8597.2</v>
      </c>
    </row>
    <row r="140" spans="1:14" ht="12.75">
      <c r="A140" s="7"/>
      <c r="B140" s="31" t="s">
        <v>165</v>
      </c>
      <c r="C140" s="6">
        <f>C142+C141</f>
        <v>14271.4</v>
      </c>
      <c r="D140" s="32">
        <f>D141+D142</f>
        <v>112.3732283464567</v>
      </c>
      <c r="E140" s="32">
        <f>E141+E142</f>
        <v>502.7</v>
      </c>
      <c r="F140" s="32">
        <f>F141+F142</f>
        <v>3.958267716535433</v>
      </c>
      <c r="G140" s="32">
        <f>G141+G142</f>
        <v>883.199999999999</v>
      </c>
      <c r="H140" s="32">
        <f>H141+H142</f>
        <v>6.954330708661409</v>
      </c>
      <c r="I140" s="28">
        <f t="shared" si="25"/>
        <v>127</v>
      </c>
      <c r="J140" s="32">
        <f>J142+J141</f>
        <v>123.28582677165355</v>
      </c>
      <c r="K140" s="74">
        <v>127</v>
      </c>
      <c r="L140" s="9">
        <f t="shared" si="26"/>
        <v>15657.300000000001</v>
      </c>
      <c r="M140" s="19">
        <f>M141</f>
        <v>297.6</v>
      </c>
      <c r="N140" s="19">
        <f t="shared" si="27"/>
        <v>15954.900000000001</v>
      </c>
    </row>
    <row r="141" spans="1:14" ht="12.75">
      <c r="A141" s="7"/>
      <c r="B141" s="5" t="s">
        <v>7</v>
      </c>
      <c r="C141" s="5">
        <v>1999.3</v>
      </c>
      <c r="D141" s="10">
        <f>C141/I141</f>
        <v>15.742519685039369</v>
      </c>
      <c r="E141" s="10">
        <v>502.7</v>
      </c>
      <c r="F141" s="10">
        <f>E141/I141</f>
        <v>3.958267716535433</v>
      </c>
      <c r="G141" s="10">
        <f>3259.1-E141-C141-M141</f>
        <v>459.5000000000001</v>
      </c>
      <c r="H141" s="10">
        <f>G141/I141</f>
        <v>3.618110236220473</v>
      </c>
      <c r="I141" s="73">
        <f t="shared" si="25"/>
        <v>127</v>
      </c>
      <c r="J141" s="10">
        <f>(D141+F141+H141)</f>
        <v>23.318897637795274</v>
      </c>
      <c r="K141" s="17">
        <f>K140</f>
        <v>127</v>
      </c>
      <c r="L141" s="18">
        <f t="shared" si="26"/>
        <v>2961.5</v>
      </c>
      <c r="M141" s="21">
        <v>297.6</v>
      </c>
      <c r="N141" s="21">
        <f t="shared" si="27"/>
        <v>3259.1</v>
      </c>
    </row>
    <row r="142" spans="1:14" ht="12.75">
      <c r="A142" s="7"/>
      <c r="B142" s="5" t="s">
        <v>155</v>
      </c>
      <c r="C142" s="5">
        <v>12272.1</v>
      </c>
      <c r="D142" s="10">
        <f>C142/I142</f>
        <v>96.63070866141733</v>
      </c>
      <c r="E142" s="10"/>
      <c r="F142" s="10"/>
      <c r="G142" s="10">
        <f>12695.8-C142-E142-M142</f>
        <v>423.6999999999989</v>
      </c>
      <c r="H142" s="10">
        <f>G142/I142</f>
        <v>3.336220472440936</v>
      </c>
      <c r="I142" s="73">
        <f t="shared" si="25"/>
        <v>127</v>
      </c>
      <c r="J142" s="10">
        <f>(D142+F142+H142)</f>
        <v>99.96692913385827</v>
      </c>
      <c r="K142" s="17">
        <f>K140</f>
        <v>127</v>
      </c>
      <c r="L142" s="18">
        <f t="shared" si="26"/>
        <v>12695.800000000001</v>
      </c>
      <c r="M142" s="21"/>
      <c r="N142" s="21">
        <f t="shared" si="27"/>
        <v>12695.800000000001</v>
      </c>
    </row>
    <row r="143" spans="1:14" ht="12.75">
      <c r="A143" s="7">
        <v>42</v>
      </c>
      <c r="B143" s="5" t="s">
        <v>50</v>
      </c>
      <c r="C143" s="9">
        <f aca="true" t="shared" si="47" ref="C143:H143">C144+C145</f>
        <v>5772</v>
      </c>
      <c r="D143" s="9">
        <f t="shared" si="47"/>
        <v>72.14999999999999</v>
      </c>
      <c r="E143" s="9">
        <f t="shared" si="47"/>
        <v>217</v>
      </c>
      <c r="F143" s="9">
        <f t="shared" si="47"/>
        <v>2.7125</v>
      </c>
      <c r="G143" s="9">
        <f t="shared" si="47"/>
        <v>753.3000000000001</v>
      </c>
      <c r="H143" s="9">
        <f t="shared" si="47"/>
        <v>9.416250000000002</v>
      </c>
      <c r="I143" s="28">
        <f t="shared" si="25"/>
        <v>80</v>
      </c>
      <c r="J143" s="9">
        <f>J144+J145</f>
        <v>84.27875</v>
      </c>
      <c r="K143" s="74">
        <v>80</v>
      </c>
      <c r="L143" s="9">
        <f t="shared" si="26"/>
        <v>6742.3</v>
      </c>
      <c r="M143" s="19">
        <f>M144</f>
        <v>232.6</v>
      </c>
      <c r="N143" s="19">
        <f t="shared" si="27"/>
        <v>6974.900000000001</v>
      </c>
    </row>
    <row r="144" spans="1:14" ht="12.75">
      <c r="A144" s="7"/>
      <c r="B144" s="5" t="s">
        <v>7</v>
      </c>
      <c r="C144" s="5">
        <v>624.2</v>
      </c>
      <c r="D144" s="10">
        <f>C144/I144</f>
        <v>7.8025</v>
      </c>
      <c r="E144" s="10">
        <v>217</v>
      </c>
      <c r="F144" s="10">
        <f>E144/I144</f>
        <v>2.7125</v>
      </c>
      <c r="G144" s="10">
        <f>1411.2+6.9-E144-C144-M144</f>
        <v>344.30000000000007</v>
      </c>
      <c r="H144" s="10">
        <f>G144/I144</f>
        <v>4.303750000000001</v>
      </c>
      <c r="I144" s="73">
        <f t="shared" si="25"/>
        <v>80</v>
      </c>
      <c r="J144" s="10">
        <f>(D144+F144+H144)</f>
        <v>14.818750000000001</v>
      </c>
      <c r="K144" s="17">
        <f>K143</f>
        <v>80</v>
      </c>
      <c r="L144" s="18">
        <f t="shared" si="26"/>
        <v>1185.5</v>
      </c>
      <c r="M144" s="21">
        <v>232.6</v>
      </c>
      <c r="N144" s="21">
        <f t="shared" si="27"/>
        <v>1418.1</v>
      </c>
    </row>
    <row r="145" spans="1:14" ht="12.75">
      <c r="A145" s="7"/>
      <c r="B145" s="5" t="s">
        <v>155</v>
      </c>
      <c r="C145" s="5">
        <v>5147.8</v>
      </c>
      <c r="D145" s="10">
        <f>C145/I145</f>
        <v>64.3475</v>
      </c>
      <c r="E145" s="10"/>
      <c r="F145" s="10"/>
      <c r="G145" s="10">
        <f>5480.8+76-C145-E145-M145</f>
        <v>409</v>
      </c>
      <c r="H145" s="10">
        <f>G145/I145</f>
        <v>5.1125</v>
      </c>
      <c r="I145" s="73">
        <f t="shared" si="25"/>
        <v>80</v>
      </c>
      <c r="J145" s="10">
        <f>(D145+F145+H145)</f>
        <v>69.46</v>
      </c>
      <c r="K145" s="17">
        <f>K143</f>
        <v>80</v>
      </c>
      <c r="L145" s="18">
        <f t="shared" si="26"/>
        <v>5556.799999999999</v>
      </c>
      <c r="M145" s="21"/>
      <c r="N145" s="21">
        <f t="shared" si="27"/>
        <v>5556.799999999999</v>
      </c>
    </row>
    <row r="146" spans="1:14" ht="12.75">
      <c r="A146" s="7"/>
      <c r="B146" s="31" t="s">
        <v>165</v>
      </c>
      <c r="C146" s="33">
        <f aca="true" t="shared" si="48" ref="C146:H146">C147+C148</f>
        <v>4473.4</v>
      </c>
      <c r="D146" s="33">
        <f t="shared" si="48"/>
        <v>72.15161290322581</v>
      </c>
      <c r="E146" s="6">
        <f t="shared" si="48"/>
        <v>168.3</v>
      </c>
      <c r="F146" s="33">
        <f t="shared" si="48"/>
        <v>2.7145161290322584</v>
      </c>
      <c r="G146" s="6">
        <f t="shared" si="48"/>
        <v>532.6999999999998</v>
      </c>
      <c r="H146" s="35">
        <f t="shared" si="48"/>
        <v>8.591935483870966</v>
      </c>
      <c r="I146" s="28">
        <f aca="true" t="shared" si="49" ref="I146:I160">K146</f>
        <v>62</v>
      </c>
      <c r="J146" s="32">
        <f>J148+J147</f>
        <v>83.45806451612903</v>
      </c>
      <c r="K146" s="74">
        <v>62</v>
      </c>
      <c r="L146" s="9">
        <f t="shared" si="26"/>
        <v>5174.4</v>
      </c>
      <c r="M146" s="19">
        <f>M147</f>
        <v>166.9</v>
      </c>
      <c r="N146" s="19">
        <f t="shared" si="27"/>
        <v>5341.299999999999</v>
      </c>
    </row>
    <row r="147" spans="1:14" ht="12.75">
      <c r="A147" s="7"/>
      <c r="B147" s="5" t="s">
        <v>7</v>
      </c>
      <c r="C147" s="30">
        <v>483.9</v>
      </c>
      <c r="D147" s="10">
        <f>C147/I147</f>
        <v>7.804838709677419</v>
      </c>
      <c r="E147" s="10">
        <v>168.3</v>
      </c>
      <c r="F147" s="10">
        <f>E147/I147</f>
        <v>2.7145161290322584</v>
      </c>
      <c r="G147" s="10">
        <f>1093.6-E147-C147-M147</f>
        <v>274.5</v>
      </c>
      <c r="H147" s="10">
        <f>G147/I147</f>
        <v>4.42741935483871</v>
      </c>
      <c r="I147" s="73">
        <f t="shared" si="49"/>
        <v>62</v>
      </c>
      <c r="J147" s="10">
        <f>D147+F147+H147</f>
        <v>14.946774193548388</v>
      </c>
      <c r="K147" s="17">
        <f>K146</f>
        <v>62</v>
      </c>
      <c r="L147" s="18">
        <f t="shared" si="26"/>
        <v>926.7</v>
      </c>
      <c r="M147" s="21">
        <v>166.9</v>
      </c>
      <c r="N147" s="21">
        <f t="shared" si="27"/>
        <v>1093.6000000000001</v>
      </c>
    </row>
    <row r="148" spans="1:14" ht="12.75">
      <c r="A148" s="7"/>
      <c r="B148" s="5" t="s">
        <v>155</v>
      </c>
      <c r="C148" s="30">
        <v>3989.5</v>
      </c>
      <c r="D148" s="10">
        <f>C148/I148</f>
        <v>64.34677419354838</v>
      </c>
      <c r="E148" s="10"/>
      <c r="F148" s="10"/>
      <c r="G148" s="10">
        <f>4247.7-C148-E148-M148</f>
        <v>258.1999999999998</v>
      </c>
      <c r="H148" s="10">
        <f>G148/I148</f>
        <v>4.164516129032255</v>
      </c>
      <c r="I148" s="73">
        <f t="shared" si="49"/>
        <v>62</v>
      </c>
      <c r="J148" s="10">
        <f>D148+F148+H148</f>
        <v>68.51129032258063</v>
      </c>
      <c r="K148" s="17">
        <f>K146</f>
        <v>62</v>
      </c>
      <c r="L148" s="18">
        <f t="shared" si="26"/>
        <v>4247.699999999999</v>
      </c>
      <c r="M148" s="21"/>
      <c r="N148" s="21">
        <f t="shared" si="27"/>
        <v>4247.699999999999</v>
      </c>
    </row>
    <row r="149" spans="1:14" ht="12.75">
      <c r="A149" s="7">
        <v>43</v>
      </c>
      <c r="B149" s="5" t="s">
        <v>51</v>
      </c>
      <c r="C149" s="9">
        <f aca="true" t="shared" si="50" ref="C149:H149">C150+C151</f>
        <v>9624.2</v>
      </c>
      <c r="D149" s="9">
        <f t="shared" si="50"/>
        <v>109.36590909090908</v>
      </c>
      <c r="E149" s="9">
        <f t="shared" si="50"/>
        <v>319.8</v>
      </c>
      <c r="F149" s="9">
        <f t="shared" si="50"/>
        <v>3.6340909090909093</v>
      </c>
      <c r="G149" s="9">
        <f t="shared" si="50"/>
        <v>622.1999999999996</v>
      </c>
      <c r="H149" s="9">
        <f t="shared" si="50"/>
        <v>7.07045454545454</v>
      </c>
      <c r="I149" s="28">
        <f t="shared" si="49"/>
        <v>88</v>
      </c>
      <c r="J149" s="9">
        <f>J150+J151</f>
        <v>120.07045454545454</v>
      </c>
      <c r="K149" s="74">
        <v>88</v>
      </c>
      <c r="L149" s="9">
        <f t="shared" si="26"/>
        <v>10566.199999999999</v>
      </c>
      <c r="M149" s="19">
        <f>M150</f>
        <v>296.8</v>
      </c>
      <c r="N149" s="19">
        <f t="shared" si="27"/>
        <v>10862.999999999998</v>
      </c>
    </row>
    <row r="150" spans="1:14" ht="12.75">
      <c r="A150" s="7"/>
      <c r="B150" s="5" t="s">
        <v>7</v>
      </c>
      <c r="C150" s="5">
        <v>1494.9</v>
      </c>
      <c r="D150" s="10">
        <f>C150/I150</f>
        <v>16.9875</v>
      </c>
      <c r="E150" s="10">
        <v>319.8</v>
      </c>
      <c r="F150" s="10">
        <f>E150/K150</f>
        <v>3.6340909090909093</v>
      </c>
      <c r="G150" s="10">
        <f>2444-E150-C150-M150</f>
        <v>332.4999999999997</v>
      </c>
      <c r="H150" s="10">
        <f>G150/I150</f>
        <v>3.7784090909090877</v>
      </c>
      <c r="I150" s="73">
        <f t="shared" si="49"/>
        <v>88</v>
      </c>
      <c r="J150" s="10">
        <f>(D150+F150+H150)</f>
        <v>24.399999999999995</v>
      </c>
      <c r="K150" s="17">
        <f>K149</f>
        <v>88</v>
      </c>
      <c r="L150" s="18">
        <f t="shared" si="26"/>
        <v>2147.1999999999994</v>
      </c>
      <c r="M150" s="21">
        <v>296.8</v>
      </c>
      <c r="N150" s="21">
        <f t="shared" si="27"/>
        <v>2443.9999999999995</v>
      </c>
    </row>
    <row r="151" spans="1:14" ht="12.75">
      <c r="A151" s="7"/>
      <c r="B151" s="5" t="s">
        <v>155</v>
      </c>
      <c r="C151" s="5">
        <v>8129.3</v>
      </c>
      <c r="D151" s="10">
        <f>C151/I151</f>
        <v>92.37840909090909</v>
      </c>
      <c r="E151" s="10"/>
      <c r="F151" s="10"/>
      <c r="G151" s="10">
        <f>8419-C151-E151-M151</f>
        <v>289.6999999999998</v>
      </c>
      <c r="H151" s="10">
        <f>G151/I151</f>
        <v>3.2920454545454523</v>
      </c>
      <c r="I151" s="73">
        <f t="shared" si="49"/>
        <v>88</v>
      </c>
      <c r="J151" s="10">
        <f>(D151+F151+H151)</f>
        <v>95.67045454545455</v>
      </c>
      <c r="K151" s="17">
        <f>K149</f>
        <v>88</v>
      </c>
      <c r="L151" s="18">
        <f t="shared" si="26"/>
        <v>8419</v>
      </c>
      <c r="M151" s="21"/>
      <c r="N151" s="21">
        <f t="shared" si="27"/>
        <v>8419</v>
      </c>
    </row>
    <row r="152" spans="1:14" ht="12.75">
      <c r="A152" s="7"/>
      <c r="B152" s="31" t="s">
        <v>165</v>
      </c>
      <c r="C152" s="33">
        <f aca="true" t="shared" si="51" ref="C152:H152">C153+C154</f>
        <v>14764.6</v>
      </c>
      <c r="D152" s="33">
        <f t="shared" si="51"/>
        <v>109.36740740740741</v>
      </c>
      <c r="E152" s="33">
        <f t="shared" si="51"/>
        <v>490.8</v>
      </c>
      <c r="F152" s="33">
        <f t="shared" si="51"/>
        <v>3.6355555555555554</v>
      </c>
      <c r="G152" s="33">
        <f t="shared" si="51"/>
        <v>943.3999999999994</v>
      </c>
      <c r="H152" s="33">
        <f t="shared" si="51"/>
        <v>6.988148148148143</v>
      </c>
      <c r="I152" s="28">
        <f t="shared" si="49"/>
        <v>135</v>
      </c>
      <c r="J152" s="32">
        <f>J154+J153</f>
        <v>119.99111111111111</v>
      </c>
      <c r="K152" s="74">
        <v>135</v>
      </c>
      <c r="L152" s="9">
        <f t="shared" si="26"/>
        <v>16198.8</v>
      </c>
      <c r="M152" s="19">
        <f>M153</f>
        <v>465.8</v>
      </c>
      <c r="N152" s="19">
        <f t="shared" si="27"/>
        <v>16664.6</v>
      </c>
    </row>
    <row r="153" spans="1:14" ht="12.75">
      <c r="A153" s="7"/>
      <c r="B153" s="5" t="s">
        <v>7</v>
      </c>
      <c r="C153" s="30">
        <v>2293.6</v>
      </c>
      <c r="D153" s="10">
        <f>C153/I153</f>
        <v>16.98962962962963</v>
      </c>
      <c r="E153" s="10">
        <v>490.8</v>
      </c>
      <c r="F153" s="10">
        <f>E153/I153</f>
        <v>3.6355555555555554</v>
      </c>
      <c r="G153" s="10">
        <f>3749.2-E153-C153-M153</f>
        <v>498.9999999999997</v>
      </c>
      <c r="H153" s="10">
        <f>G153/I153</f>
        <v>3.696296296296294</v>
      </c>
      <c r="I153" s="73">
        <f t="shared" si="49"/>
        <v>135</v>
      </c>
      <c r="J153" s="10">
        <f>D153+F153+H153</f>
        <v>24.321481481481477</v>
      </c>
      <c r="K153" s="17">
        <f>K152</f>
        <v>135</v>
      </c>
      <c r="L153" s="18">
        <f t="shared" si="26"/>
        <v>3283.3999999999996</v>
      </c>
      <c r="M153" s="21">
        <v>465.8</v>
      </c>
      <c r="N153" s="21">
        <f t="shared" si="27"/>
        <v>3749.2</v>
      </c>
    </row>
    <row r="154" spans="1:14" ht="12.75">
      <c r="A154" s="7"/>
      <c r="B154" s="5" t="s">
        <v>155</v>
      </c>
      <c r="C154" s="30">
        <v>12471</v>
      </c>
      <c r="D154" s="10">
        <f>C154/I154</f>
        <v>92.37777777777778</v>
      </c>
      <c r="E154" s="10"/>
      <c r="F154" s="10"/>
      <c r="G154" s="10">
        <f>12915.4-C154-E154-M154</f>
        <v>444.39999999999964</v>
      </c>
      <c r="H154" s="10">
        <f>G154/I154</f>
        <v>3.2918518518518494</v>
      </c>
      <c r="I154" s="73">
        <f t="shared" si="49"/>
        <v>135</v>
      </c>
      <c r="J154" s="10">
        <f>D154+F154+H154</f>
        <v>95.66962962962963</v>
      </c>
      <c r="K154" s="17">
        <f>K152</f>
        <v>135</v>
      </c>
      <c r="L154" s="18">
        <f t="shared" si="26"/>
        <v>12915.4</v>
      </c>
      <c r="M154" s="21"/>
      <c r="N154" s="21">
        <f t="shared" si="27"/>
        <v>12915.4</v>
      </c>
    </row>
    <row r="155" spans="1:14" ht="12.75">
      <c r="A155" s="7">
        <v>44</v>
      </c>
      <c r="B155" s="5" t="s">
        <v>52</v>
      </c>
      <c r="C155" s="9">
        <f aca="true" t="shared" si="52" ref="C155:H155">C156+C157</f>
        <v>11635.7</v>
      </c>
      <c r="D155" s="33">
        <f t="shared" si="52"/>
        <v>122.48105263157895</v>
      </c>
      <c r="E155" s="9">
        <f t="shared" si="52"/>
        <v>443</v>
      </c>
      <c r="F155" s="9">
        <f t="shared" si="52"/>
        <v>4.663157894736842</v>
      </c>
      <c r="G155" s="9">
        <f t="shared" si="52"/>
        <v>613.6999999999998</v>
      </c>
      <c r="H155" s="9">
        <f t="shared" si="52"/>
        <v>6.459999999999997</v>
      </c>
      <c r="I155" s="28">
        <f t="shared" si="49"/>
        <v>95</v>
      </c>
      <c r="J155" s="9">
        <f>J156+J157</f>
        <v>133.6042105263158</v>
      </c>
      <c r="K155" s="74">
        <v>95</v>
      </c>
      <c r="L155" s="9">
        <f aca="true" t="shared" si="53" ref="L155:L236">J155*K155</f>
        <v>12692.400000000001</v>
      </c>
      <c r="M155" s="19">
        <f>M156</f>
        <v>379.3</v>
      </c>
      <c r="N155" s="19">
        <f aca="true" t="shared" si="54" ref="N155:N236">L155+M155</f>
        <v>13071.7</v>
      </c>
    </row>
    <row r="156" spans="1:14" ht="12.75">
      <c r="A156" s="7"/>
      <c r="B156" s="5" t="s">
        <v>7</v>
      </c>
      <c r="C156" s="30">
        <v>1685.2</v>
      </c>
      <c r="D156" s="10">
        <f>C156/I156</f>
        <v>17.73894736842105</v>
      </c>
      <c r="E156" s="10">
        <v>443</v>
      </c>
      <c r="F156" s="10">
        <f>E156/K156</f>
        <v>4.663157894736842</v>
      </c>
      <c r="G156" s="10">
        <f>2697.5+9.2-E156-C156-M156</f>
        <v>199.19999999999976</v>
      </c>
      <c r="H156" s="10">
        <f>G156/I156</f>
        <v>2.096842105263155</v>
      </c>
      <c r="I156" s="73">
        <f t="shared" si="49"/>
        <v>95</v>
      </c>
      <c r="J156" s="10">
        <f>(D156+F156+H156)</f>
        <v>24.49894736842105</v>
      </c>
      <c r="K156" s="17">
        <f>K155</f>
        <v>95</v>
      </c>
      <c r="L156" s="18">
        <f t="shared" si="53"/>
        <v>2327.3999999999996</v>
      </c>
      <c r="M156" s="21">
        <v>379.3</v>
      </c>
      <c r="N156" s="21">
        <f t="shared" si="54"/>
        <v>2706.7</v>
      </c>
    </row>
    <row r="157" spans="1:14" ht="12.75">
      <c r="A157" s="7"/>
      <c r="B157" s="5" t="s">
        <v>155</v>
      </c>
      <c r="C157" s="30">
        <v>9950.5</v>
      </c>
      <c r="D157" s="10">
        <f>C157/I157</f>
        <v>104.7421052631579</v>
      </c>
      <c r="E157" s="10"/>
      <c r="F157" s="10"/>
      <c r="G157" s="10">
        <f>10289+76-C157-E157-M157</f>
        <v>414.5</v>
      </c>
      <c r="H157" s="10">
        <f>G157/I157</f>
        <v>4.363157894736842</v>
      </c>
      <c r="I157" s="73">
        <f t="shared" si="49"/>
        <v>95</v>
      </c>
      <c r="J157" s="10">
        <f>(D157+F157+H157)</f>
        <v>109.10526315789474</v>
      </c>
      <c r="K157" s="17">
        <f>K155</f>
        <v>95</v>
      </c>
      <c r="L157" s="18">
        <f t="shared" si="53"/>
        <v>10365</v>
      </c>
      <c r="M157" s="21"/>
      <c r="N157" s="18">
        <f t="shared" si="54"/>
        <v>10365</v>
      </c>
    </row>
    <row r="158" spans="1:14" ht="12.75">
      <c r="A158" s="7"/>
      <c r="B158" s="31" t="s">
        <v>165</v>
      </c>
      <c r="C158" s="33">
        <f aca="true" t="shared" si="55" ref="C158:H158">C159+C160</f>
        <v>13718.199999999999</v>
      </c>
      <c r="D158" s="33">
        <f t="shared" si="55"/>
        <v>122.48392857142856</v>
      </c>
      <c r="E158" s="33">
        <f t="shared" si="55"/>
        <v>522.3</v>
      </c>
      <c r="F158" s="33">
        <f t="shared" si="55"/>
        <v>4.663392857142857</v>
      </c>
      <c r="G158" s="33">
        <f t="shared" si="55"/>
        <v>638.7000000000006</v>
      </c>
      <c r="H158" s="33">
        <f t="shared" si="55"/>
        <v>5.702678571428577</v>
      </c>
      <c r="I158" s="28">
        <f t="shared" si="49"/>
        <v>112</v>
      </c>
      <c r="J158" s="32">
        <f>J159+J160</f>
        <v>132.85</v>
      </c>
      <c r="K158" s="74">
        <v>112</v>
      </c>
      <c r="L158" s="9">
        <f t="shared" si="53"/>
        <v>14879.199999999999</v>
      </c>
      <c r="M158" s="19">
        <f>M159</f>
        <v>431.1</v>
      </c>
      <c r="N158" s="19">
        <f t="shared" si="54"/>
        <v>15310.3</v>
      </c>
    </row>
    <row r="159" spans="1:14" ht="12.75">
      <c r="A159" s="7"/>
      <c r="B159" s="5" t="s">
        <v>7</v>
      </c>
      <c r="C159" s="34">
        <v>1986.9</v>
      </c>
      <c r="D159" s="10">
        <f>C159/I159</f>
        <v>17.740178571428572</v>
      </c>
      <c r="E159" s="10">
        <v>522.3</v>
      </c>
      <c r="F159" s="10">
        <f>E159/I159</f>
        <v>4.663392857142857</v>
      </c>
      <c r="G159" s="10">
        <f>3180.3-E159-C159-M159</f>
        <v>239.9999999999999</v>
      </c>
      <c r="H159" s="10">
        <f>G159/I159</f>
        <v>2.142857142857142</v>
      </c>
      <c r="I159" s="73">
        <f t="shared" si="49"/>
        <v>112</v>
      </c>
      <c r="J159" s="10">
        <f>D159+F159+H159</f>
        <v>24.54642857142857</v>
      </c>
      <c r="K159" s="17">
        <f>K158</f>
        <v>112</v>
      </c>
      <c r="L159" s="18">
        <f t="shared" si="53"/>
        <v>2749.2</v>
      </c>
      <c r="M159" s="21">
        <v>431.1</v>
      </c>
      <c r="N159" s="21">
        <f t="shared" si="54"/>
        <v>3180.2999999999997</v>
      </c>
    </row>
    <row r="160" spans="1:14" ht="12.75">
      <c r="A160" s="7"/>
      <c r="B160" s="5" t="s">
        <v>155</v>
      </c>
      <c r="C160" s="34">
        <v>11731.3</v>
      </c>
      <c r="D160" s="10">
        <f>C160/I160</f>
        <v>104.74374999999999</v>
      </c>
      <c r="E160" s="10"/>
      <c r="F160" s="10"/>
      <c r="G160" s="10">
        <f>12130-C160-E160-M160</f>
        <v>398.7000000000007</v>
      </c>
      <c r="H160" s="10">
        <f>G160/I160</f>
        <v>3.559821428571435</v>
      </c>
      <c r="I160" s="73">
        <f t="shared" si="49"/>
        <v>112</v>
      </c>
      <c r="J160" s="10">
        <f>D160+F160+H160</f>
        <v>108.30357142857143</v>
      </c>
      <c r="K160" s="17">
        <f>K158</f>
        <v>112</v>
      </c>
      <c r="L160" s="18">
        <f t="shared" si="53"/>
        <v>12130</v>
      </c>
      <c r="M160" s="21"/>
      <c r="N160" s="21">
        <f t="shared" si="54"/>
        <v>12130</v>
      </c>
    </row>
    <row r="161" spans="1:14" ht="12.75">
      <c r="A161" s="7"/>
      <c r="B161" s="5" t="s">
        <v>158</v>
      </c>
      <c r="C161" s="30">
        <f>C155+C149+C143+C137+C134+C131+C128+C125+C122+C119+C116+C113+C110+C107+C104+C101+C98+C95+C92+C89+C86+C83+C80+C77+C74+C71+C68+C65+C62+C59+C56+C53+C50+C47+C44+C41+C38+C35+C32+C29+C26+C23+C20+C17+C152+C146+C140+C158</f>
        <v>1177164.254</v>
      </c>
      <c r="D161" s="30"/>
      <c r="E161" s="30">
        <f>E155+E149+E143+E137+E134+E131+E128+E125+E122+E119+E116+E113+E110+E107+E104+E101+E98+E95+E92+E89+E86+E83+E80+E77+E74+E71+E68+E65+E62+E59+E56+E53+E50+E47+E44+E41+E38+E35+E32+E29+E26+E23+E20+E17+E158+E152+E146+E140</f>
        <v>35661.299999999996</v>
      </c>
      <c r="F161" s="10"/>
      <c r="G161" s="10"/>
      <c r="H161" s="10"/>
      <c r="I161" s="29"/>
      <c r="J161" s="10"/>
      <c r="K161" s="40">
        <f>K158+K155+K152+K149+K146+K143+K140+K137+K134+K131+K128+K125+K122+K119+K116+K113+K110+K107+K104+K101+K98+K95+K92+K89+K86+K83+K80+K77+K74+K71+K68+K65+K62+K59+K56+K53+K50+K47+K44+K41+K38+K35+K32+K29+K26+K23+K20+K17</f>
        <v>20477</v>
      </c>
      <c r="L161" s="19">
        <f>L158+L155+L152+L149+L146+L143+L140+L137+L134+L131+L128+L125+L122+L119+L116+L113+L110+L107+L104+L101+L98+L95+L92+L89+L86+L83+L80+L77+L74+L71+L68+L65+L62+L59+L56+L53+L50+L47+L44+L41+L38+L35+L32+L29+L26+L23+L20+L17</f>
        <v>1372053.2999999996</v>
      </c>
      <c r="M161" s="19">
        <f>M158+M155+M152+M149+M146+M143+M140+M137+M134+M131+M128+M125+M122+M119+M116+M113+M110+M107+M104+M101+M98+M95+M92+M89+M86+M83+M80+M77+M74+M71+M68+M65+M62+M59+M56+M53+M50+M47+M44+M41+M38+M35+M32+M29+M26+M23+M20+M17</f>
        <v>49693.69999999998</v>
      </c>
      <c r="N161" s="19">
        <f>N158+N155+N152+N149+N146+N143+N140+N137+N134+N131+N128+N125+N122+N119+N116+N113+N110+N107+N104+N101+N98+N95+N92+N89+N86+N83+N80+N77+N74+N71+N68+N65+N62+N59+N56+N53+N50+N47+N44+N41+N38+N35+N32+N29+N26+N23+N20+N17</f>
        <v>1421747.0000000002</v>
      </c>
    </row>
    <row r="162" spans="1:14" ht="12.75">
      <c r="A162" s="7"/>
      <c r="B162" s="5" t="s">
        <v>7</v>
      </c>
      <c r="C162" s="30">
        <f>C18+C21+C24+C27+C30+C33+C36+C39+C42+C45+C48+C51+C54+C57+C60+C63+C66+C69+C72+C75+C78+C81+C84+C87+C90+C93+C96+C99+C102+C105+C108+C111+C114+C117+C120+C123+C126+C129+C132+C135+C138+C141+C144+C147+C150+C153+C156+C159</f>
        <v>30789.854000000003</v>
      </c>
      <c r="D162" s="30"/>
      <c r="E162" s="30">
        <f>E18+E21+E24+E27+E30+E33+E36+E39+E42+E45+E48+E51+E54+E57+E60+E63+E66+E69+E72+E75+E78+E81+E84+E87+E90+E93+E96+E99+E102+E105+E108+E111+E114+E117+E120+E123+E126+E129+E132+E135+E138+E141+E144+E147+E150+E153+E156+E159</f>
        <v>35661.30000000001</v>
      </c>
      <c r="F162" s="10"/>
      <c r="G162" s="30">
        <f>G18+G21+G24+G27+G30+G33+G36+G39+G42+G45+G48+G51+G54+G57+G60+G63+G66+G69+G72+G75+G78+G81+G84+G87+G90+G93+G96+G99+G102+G105+G108+G111+G114+G117+G120+G123+G126+G129+G132+G135+G138+G141+G144+G147+G150+G153+G156+G159</f>
        <v>54322.746</v>
      </c>
      <c r="H162" s="10"/>
      <c r="I162" s="29"/>
      <c r="J162" s="30"/>
      <c r="K162" s="83">
        <f>K161</f>
        <v>20477</v>
      </c>
      <c r="L162" s="30">
        <f aca="true" t="shared" si="56" ref="L162:N163">L18+L21+L24+L27+L30+L33+L36+L39+L42+L45+L48+L51+L54+L57+L60+L63+L66+L69+L72+L75+L78+L81+L84+L87+L90+L93+L96+L99+L102+L105+L108+L111+L114+L117+L120+L123+L126+L129+L132+L135+L138+L141+L144+L147+L150+L153+L156+L159</f>
        <v>120773.89999999998</v>
      </c>
      <c r="M162" s="30">
        <f t="shared" si="56"/>
        <v>49693.700000000004</v>
      </c>
      <c r="N162" s="30">
        <f t="shared" si="56"/>
        <v>170467.60000000003</v>
      </c>
    </row>
    <row r="163" spans="1:14" ht="12.75">
      <c r="A163" s="7"/>
      <c r="B163" s="5" t="s">
        <v>155</v>
      </c>
      <c r="C163" s="30">
        <f>C19+C22+C25+C28+C31+C34+C37+C40+C43+C46+C49+C52+C55+C58+C61+C64+C67+C70+C73+C76+C79+C82+C85+C88+C91+C94+C97+C100+C103+C106+C109+C112+C115+C118+C121+C124+C127+C130+C133+C136+C139+C142+C145+C148+C151+C154+C157+C160</f>
        <v>1146374.4000000004</v>
      </c>
      <c r="D163" s="30"/>
      <c r="E163" s="30">
        <f>E19+E22+E25+E28+E31+E34+E37+E40+E43+E46+E49+E52+E55+E58+E61+E64+E67+E70+E73+E76+E79+E82+E85+E88+E91+E94+E97+E100+E103+E106+E109+E112+E115+E118+E121+E124+E127+E130+E133+E136+E139+E142+E145+E148+E151+E154+E157+E160</f>
        <v>0</v>
      </c>
      <c r="F163" s="10"/>
      <c r="G163" s="30">
        <f>G19+G22+G25+G28+G31+G34+G37+G40+G43+G46+G49+G52+G55+G58+G61+G64+G67+G70+G73+G76+G79+G82+G85+G88+G91+G94+G97+G100+G103+G106+G109+G112+G115+G118+G121+G124+G127+G130+G133+G136+G139+G142+G145+G148+G151+G154+G157+G160</f>
        <v>104905</v>
      </c>
      <c r="H163" s="10"/>
      <c r="I163" s="29"/>
      <c r="J163" s="30"/>
      <c r="K163" s="83">
        <f>K161</f>
        <v>20477</v>
      </c>
      <c r="L163" s="30">
        <f t="shared" si="56"/>
        <v>1251279.3999999997</v>
      </c>
      <c r="M163" s="30">
        <f t="shared" si="56"/>
        <v>0</v>
      </c>
      <c r="N163" s="30">
        <f t="shared" si="56"/>
        <v>1251279.3999999997</v>
      </c>
    </row>
    <row r="164" spans="1:14" ht="12.75">
      <c r="A164" s="7"/>
      <c r="B164" s="6" t="s">
        <v>148</v>
      </c>
      <c r="C164" s="30"/>
      <c r="D164" s="30"/>
      <c r="E164" s="30"/>
      <c r="F164" s="10"/>
      <c r="G164" s="10"/>
      <c r="H164" s="10"/>
      <c r="I164" s="29"/>
      <c r="J164" s="10"/>
      <c r="K164" s="19"/>
      <c r="L164" s="19">
        <f>L161/K161</f>
        <v>67.00460516677245</v>
      </c>
      <c r="M164" s="19"/>
      <c r="N164" s="19">
        <f>N161/K161</f>
        <v>69.43141085119892</v>
      </c>
    </row>
    <row r="165" spans="1:14" ht="12.75">
      <c r="A165" s="7"/>
      <c r="B165" s="5" t="s">
        <v>7</v>
      </c>
      <c r="C165" s="30"/>
      <c r="D165" s="30"/>
      <c r="E165" s="30"/>
      <c r="F165" s="10"/>
      <c r="G165" s="10"/>
      <c r="H165" s="10"/>
      <c r="I165" s="29"/>
      <c r="J165" s="10"/>
      <c r="K165" s="19"/>
      <c r="L165" s="19">
        <f>L162/K162</f>
        <v>5.898027054744347</v>
      </c>
      <c r="M165" s="19"/>
      <c r="N165" s="19"/>
    </row>
    <row r="166" spans="1:14" ht="12.75">
      <c r="A166" s="7"/>
      <c r="B166" s="5" t="s">
        <v>155</v>
      </c>
      <c r="C166" s="30"/>
      <c r="D166" s="30"/>
      <c r="E166" s="30"/>
      <c r="F166" s="10"/>
      <c r="G166" s="10"/>
      <c r="H166" s="10"/>
      <c r="I166" s="29"/>
      <c r="J166" s="10"/>
      <c r="K166" s="19"/>
      <c r="L166" s="19">
        <f>L163/K163</f>
        <v>61.10657811202811</v>
      </c>
      <c r="M166" s="19"/>
      <c r="N166" s="19"/>
    </row>
    <row r="167" spans="1:14" ht="12.75">
      <c r="A167" s="7"/>
      <c r="B167" s="6"/>
      <c r="C167" s="5"/>
      <c r="D167" s="5"/>
      <c r="E167" s="5"/>
      <c r="F167" s="5"/>
      <c r="G167" s="5"/>
      <c r="H167" s="5"/>
      <c r="I167" s="5"/>
      <c r="J167" s="5"/>
      <c r="K167" s="5"/>
      <c r="L167" s="19"/>
      <c r="M167" s="19"/>
      <c r="N167" s="19"/>
    </row>
    <row r="168" spans="1:14" ht="12.75">
      <c r="A168" s="7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19"/>
      <c r="M168" s="19"/>
      <c r="N168" s="19"/>
    </row>
    <row r="169" spans="1:14" s="53" customFormat="1" ht="12.75">
      <c r="A169" s="49"/>
      <c r="B169" s="76" t="s">
        <v>152</v>
      </c>
      <c r="C169" s="76"/>
      <c r="D169" s="70"/>
      <c r="E169" s="70"/>
      <c r="F169" s="70"/>
      <c r="G169" s="70"/>
      <c r="H169" s="70"/>
      <c r="I169" s="77"/>
      <c r="J169" s="70"/>
      <c r="K169" s="52"/>
      <c r="L169" s="55"/>
      <c r="M169" s="55"/>
      <c r="N169" s="55"/>
    </row>
    <row r="170" spans="1:14" s="53" customFormat="1" ht="12.75">
      <c r="A170" s="49">
        <v>1</v>
      </c>
      <c r="B170" s="50" t="s">
        <v>54</v>
      </c>
      <c r="C170" s="51">
        <f aca="true" t="shared" si="57" ref="C170:H170">C171+C172</f>
        <v>4549.700000000001</v>
      </c>
      <c r="D170" s="51">
        <f t="shared" si="57"/>
        <v>9.191313131313132</v>
      </c>
      <c r="E170" s="51">
        <f t="shared" si="57"/>
        <v>0</v>
      </c>
      <c r="F170" s="51">
        <f t="shared" si="57"/>
        <v>0</v>
      </c>
      <c r="G170" s="51">
        <f t="shared" si="57"/>
        <v>78.09999999999945</v>
      </c>
      <c r="H170" s="51">
        <f t="shared" si="57"/>
        <v>0.15777777777777668</v>
      </c>
      <c r="I170" s="78">
        <f>K170</f>
        <v>495</v>
      </c>
      <c r="J170" s="51">
        <f>J171+J172</f>
        <v>9.34909090909091</v>
      </c>
      <c r="K170" s="79">
        <v>495</v>
      </c>
      <c r="L170" s="51">
        <f t="shared" si="53"/>
        <v>4627.8</v>
      </c>
      <c r="M170" s="55">
        <v>0</v>
      </c>
      <c r="N170" s="51">
        <f t="shared" si="54"/>
        <v>4627.8</v>
      </c>
    </row>
    <row r="171" spans="1:14" s="53" customFormat="1" ht="12.75">
      <c r="A171" s="49"/>
      <c r="B171" s="50" t="s">
        <v>7</v>
      </c>
      <c r="C171" s="50">
        <v>4264.1</v>
      </c>
      <c r="D171" s="54">
        <f>C171/I171</f>
        <v>8.614343434343436</v>
      </c>
      <c r="E171" s="54"/>
      <c r="F171" s="54"/>
      <c r="G171" s="54">
        <f>4342.2-C171-E171-M171</f>
        <v>78.09999999999945</v>
      </c>
      <c r="H171" s="54">
        <f>G171/I171</f>
        <v>0.15777777777777668</v>
      </c>
      <c r="I171" s="77">
        <f>I170</f>
        <v>495</v>
      </c>
      <c r="J171" s="54">
        <f>(D171+F171+H171)</f>
        <v>8.772121212121213</v>
      </c>
      <c r="K171" s="52">
        <f>K170</f>
        <v>495</v>
      </c>
      <c r="L171" s="55">
        <f t="shared" si="53"/>
        <v>4342.200000000001</v>
      </c>
      <c r="M171" s="51"/>
      <c r="N171" s="55">
        <f t="shared" si="54"/>
        <v>4342.200000000001</v>
      </c>
    </row>
    <row r="172" spans="1:14" s="53" customFormat="1" ht="12.75">
      <c r="A172" s="49"/>
      <c r="B172" s="50" t="s">
        <v>155</v>
      </c>
      <c r="C172" s="50">
        <v>285.6</v>
      </c>
      <c r="D172" s="54">
        <f>C172/I172</f>
        <v>0.576969696969697</v>
      </c>
      <c r="E172" s="54"/>
      <c r="F172" s="54"/>
      <c r="G172" s="54"/>
      <c r="H172" s="54"/>
      <c r="I172" s="77">
        <f>I170</f>
        <v>495</v>
      </c>
      <c r="J172" s="54">
        <f>(D172+F172+H172)</f>
        <v>0.576969696969697</v>
      </c>
      <c r="K172" s="52">
        <f>K170</f>
        <v>495</v>
      </c>
      <c r="L172" s="55">
        <f t="shared" si="53"/>
        <v>285.6</v>
      </c>
      <c r="M172" s="55"/>
      <c r="N172" s="55">
        <f t="shared" si="54"/>
        <v>285.6</v>
      </c>
    </row>
    <row r="173" spans="1:14" s="53" customFormat="1" ht="12.75">
      <c r="A173" s="49">
        <v>2</v>
      </c>
      <c r="B173" s="50" t="s">
        <v>55</v>
      </c>
      <c r="C173" s="51">
        <f aca="true" t="shared" si="58" ref="C173:H173">C174+C175</f>
        <v>6223.6</v>
      </c>
      <c r="D173" s="51">
        <f t="shared" si="58"/>
        <v>8.954820143884891</v>
      </c>
      <c r="E173" s="51">
        <f t="shared" si="58"/>
        <v>0</v>
      </c>
      <c r="F173" s="51">
        <f t="shared" si="58"/>
        <v>0</v>
      </c>
      <c r="G173" s="51">
        <f t="shared" si="58"/>
        <v>64.69999999999982</v>
      </c>
      <c r="H173" s="51">
        <f t="shared" si="58"/>
        <v>0.09309352517985585</v>
      </c>
      <c r="I173" s="78">
        <f>K173</f>
        <v>695</v>
      </c>
      <c r="J173" s="51">
        <f>J174+J175</f>
        <v>9.047913669064748</v>
      </c>
      <c r="K173" s="79">
        <v>695</v>
      </c>
      <c r="L173" s="51">
        <f t="shared" si="53"/>
        <v>6288.3</v>
      </c>
      <c r="M173" s="51">
        <v>50</v>
      </c>
      <c r="N173" s="51">
        <f t="shared" si="54"/>
        <v>6338.3</v>
      </c>
    </row>
    <row r="174" spans="1:14" s="53" customFormat="1" ht="12.75">
      <c r="A174" s="49"/>
      <c r="B174" s="50" t="s">
        <v>7</v>
      </c>
      <c r="C174" s="50">
        <v>5682</v>
      </c>
      <c r="D174" s="54">
        <f>C174/I174</f>
        <v>8.175539568345323</v>
      </c>
      <c r="E174" s="54"/>
      <c r="F174" s="54"/>
      <c r="G174" s="54">
        <f>5796.7-C174-E174-M174</f>
        <v>64.69999999999982</v>
      </c>
      <c r="H174" s="54">
        <f>G174/I174</f>
        <v>0.09309352517985585</v>
      </c>
      <c r="I174" s="77">
        <f>I173</f>
        <v>695</v>
      </c>
      <c r="J174" s="54">
        <f>(D174+F174+H174)</f>
        <v>8.26863309352518</v>
      </c>
      <c r="K174" s="52">
        <f>K173</f>
        <v>695</v>
      </c>
      <c r="L174" s="55">
        <f t="shared" si="53"/>
        <v>5746.7</v>
      </c>
      <c r="M174" s="51">
        <f>M173</f>
        <v>50</v>
      </c>
      <c r="N174" s="55">
        <f t="shared" si="54"/>
        <v>5796.7</v>
      </c>
    </row>
    <row r="175" spans="1:14" s="53" customFormat="1" ht="12.75">
      <c r="A175" s="49"/>
      <c r="B175" s="50" t="s">
        <v>155</v>
      </c>
      <c r="C175" s="50">
        <v>541.6</v>
      </c>
      <c r="D175" s="54">
        <f>C175/I175</f>
        <v>0.7792805755395684</v>
      </c>
      <c r="E175" s="54"/>
      <c r="F175" s="54"/>
      <c r="G175" s="54"/>
      <c r="H175" s="54"/>
      <c r="I175" s="77">
        <f>I173</f>
        <v>695</v>
      </c>
      <c r="J175" s="54">
        <f>(D175+F175+H175)</f>
        <v>0.7792805755395684</v>
      </c>
      <c r="K175" s="52">
        <f>K173</f>
        <v>695</v>
      </c>
      <c r="L175" s="55">
        <f t="shared" si="53"/>
        <v>541.6</v>
      </c>
      <c r="M175" s="55"/>
      <c r="N175" s="55">
        <f t="shared" si="54"/>
        <v>541.6</v>
      </c>
    </row>
    <row r="176" spans="1:14" s="53" customFormat="1" ht="12.75">
      <c r="A176" s="49">
        <v>3</v>
      </c>
      <c r="B176" s="50" t="s">
        <v>56</v>
      </c>
      <c r="C176" s="51">
        <f aca="true" t="shared" si="59" ref="C176:H176">C177+C178</f>
        <v>25854.7</v>
      </c>
      <c r="D176" s="51">
        <f t="shared" si="59"/>
        <v>7.340914253265191</v>
      </c>
      <c r="E176" s="51">
        <f t="shared" si="59"/>
        <v>22.5</v>
      </c>
      <c r="F176" s="51">
        <f t="shared" si="59"/>
        <v>0.006388415672913117</v>
      </c>
      <c r="G176" s="51">
        <f t="shared" si="59"/>
        <v>287.59999999999854</v>
      </c>
      <c r="H176" s="51">
        <f t="shared" si="59"/>
        <v>0.08165814877910237</v>
      </c>
      <c r="I176" s="78">
        <f>K176</f>
        <v>3522</v>
      </c>
      <c r="J176" s="51">
        <f>J177+J178</f>
        <v>7.428960817717206</v>
      </c>
      <c r="K176" s="79">
        <v>3522</v>
      </c>
      <c r="L176" s="51">
        <f t="shared" si="53"/>
        <v>26164.8</v>
      </c>
      <c r="M176" s="51">
        <v>2.5</v>
      </c>
      <c r="N176" s="51">
        <f t="shared" si="54"/>
        <v>26167.3</v>
      </c>
    </row>
    <row r="177" spans="1:14" s="53" customFormat="1" ht="12.75">
      <c r="A177" s="49"/>
      <c r="B177" s="50" t="s">
        <v>7</v>
      </c>
      <c r="C177" s="50">
        <v>23884.5</v>
      </c>
      <c r="D177" s="54">
        <f>C177/I177</f>
        <v>6.781516183986372</v>
      </c>
      <c r="E177" s="54">
        <v>22.5</v>
      </c>
      <c r="F177" s="54">
        <f>E177/I177</f>
        <v>0.006388415672913117</v>
      </c>
      <c r="G177" s="54">
        <f>24197.1-C177-E177-M177</f>
        <v>287.59999999999854</v>
      </c>
      <c r="H177" s="54">
        <f>G177/I177</f>
        <v>0.08165814877910237</v>
      </c>
      <c r="I177" s="77">
        <f>I176</f>
        <v>3522</v>
      </c>
      <c r="J177" s="54">
        <f>(D177+F177+H177)</f>
        <v>6.869562748438387</v>
      </c>
      <c r="K177" s="52">
        <f>K176</f>
        <v>3522</v>
      </c>
      <c r="L177" s="55">
        <f t="shared" si="53"/>
        <v>24194.6</v>
      </c>
      <c r="M177" s="55">
        <f>M176</f>
        <v>2.5</v>
      </c>
      <c r="N177" s="55">
        <f t="shared" si="54"/>
        <v>24197.1</v>
      </c>
    </row>
    <row r="178" spans="1:14" s="53" customFormat="1" ht="12.75">
      <c r="A178" s="49"/>
      <c r="B178" s="50" t="s">
        <v>155</v>
      </c>
      <c r="C178" s="50">
        <v>1970.2</v>
      </c>
      <c r="D178" s="54">
        <f>C178/I178</f>
        <v>0.5593980692788189</v>
      </c>
      <c r="E178" s="54"/>
      <c r="F178" s="54"/>
      <c r="G178" s="54"/>
      <c r="H178" s="54"/>
      <c r="I178" s="77">
        <f>I176</f>
        <v>3522</v>
      </c>
      <c r="J178" s="54">
        <f>(D178+F178+H178)</f>
        <v>0.5593980692788189</v>
      </c>
      <c r="K178" s="52">
        <f>K176</f>
        <v>3522</v>
      </c>
      <c r="L178" s="55">
        <f t="shared" si="53"/>
        <v>1970.2</v>
      </c>
      <c r="M178" s="55"/>
      <c r="N178" s="55">
        <f t="shared" si="54"/>
        <v>1970.2</v>
      </c>
    </row>
    <row r="179" spans="1:14" s="53" customFormat="1" ht="12.75">
      <c r="A179" s="49">
        <v>4</v>
      </c>
      <c r="B179" s="50" t="s">
        <v>57</v>
      </c>
      <c r="C179" s="51">
        <f aca="true" t="shared" si="60" ref="C179:H179">C180+C181</f>
        <v>13966.5</v>
      </c>
      <c r="D179" s="51">
        <f t="shared" si="60"/>
        <v>7.350789473684211</v>
      </c>
      <c r="E179" s="51">
        <f t="shared" si="60"/>
        <v>116.2</v>
      </c>
      <c r="F179" s="51">
        <f t="shared" si="60"/>
        <v>0.061157894736842106</v>
      </c>
      <c r="G179" s="51">
        <f t="shared" si="60"/>
        <v>383.5000000000007</v>
      </c>
      <c r="H179" s="51">
        <f t="shared" si="60"/>
        <v>0.20184210526315827</v>
      </c>
      <c r="I179" s="78">
        <f>K179</f>
        <v>1900</v>
      </c>
      <c r="J179" s="51">
        <f>J180+J181</f>
        <v>7.6137894736842116</v>
      </c>
      <c r="K179" s="79">
        <v>1900</v>
      </c>
      <c r="L179" s="51">
        <f t="shared" si="53"/>
        <v>14466.200000000003</v>
      </c>
      <c r="M179" s="51">
        <v>210</v>
      </c>
      <c r="N179" s="51">
        <f t="shared" si="54"/>
        <v>14676.200000000003</v>
      </c>
    </row>
    <row r="180" spans="1:14" s="53" customFormat="1" ht="12.75">
      <c r="A180" s="49"/>
      <c r="B180" s="50" t="s">
        <v>7</v>
      </c>
      <c r="C180" s="50">
        <v>12640.9</v>
      </c>
      <c r="D180" s="54">
        <f>C180/I180</f>
        <v>6.653105263157895</v>
      </c>
      <c r="E180" s="54">
        <v>116.2</v>
      </c>
      <c r="F180" s="54">
        <f>E180/I180</f>
        <v>0.061157894736842106</v>
      </c>
      <c r="G180" s="54">
        <f>13350.6-C180-E180-M180</f>
        <v>383.5000000000007</v>
      </c>
      <c r="H180" s="54">
        <f>G180/I180</f>
        <v>0.20184210526315827</v>
      </c>
      <c r="I180" s="77">
        <f>I179</f>
        <v>1900</v>
      </c>
      <c r="J180" s="54">
        <f>(D180+F180+H180)</f>
        <v>6.916105263157895</v>
      </c>
      <c r="K180" s="52">
        <f>K179</f>
        <v>1900</v>
      </c>
      <c r="L180" s="55">
        <f t="shared" si="53"/>
        <v>13140.600000000002</v>
      </c>
      <c r="M180" s="55">
        <f>M179</f>
        <v>210</v>
      </c>
      <c r="N180" s="55">
        <f t="shared" si="54"/>
        <v>13350.600000000002</v>
      </c>
    </row>
    <row r="181" spans="1:14" s="53" customFormat="1" ht="12.75">
      <c r="A181" s="49"/>
      <c r="B181" s="50" t="s">
        <v>155</v>
      </c>
      <c r="C181" s="50">
        <v>1325.6</v>
      </c>
      <c r="D181" s="54">
        <f>C181/I181</f>
        <v>0.6976842105263158</v>
      </c>
      <c r="E181" s="54"/>
      <c r="F181" s="54"/>
      <c r="G181" s="54"/>
      <c r="H181" s="54"/>
      <c r="I181" s="77">
        <f>I179</f>
        <v>1900</v>
      </c>
      <c r="J181" s="54">
        <f>(D181+F181+H181)</f>
        <v>0.6976842105263158</v>
      </c>
      <c r="K181" s="52">
        <f>K179</f>
        <v>1900</v>
      </c>
      <c r="L181" s="55">
        <f t="shared" si="53"/>
        <v>1325.6</v>
      </c>
      <c r="M181" s="55"/>
      <c r="N181" s="55">
        <f t="shared" si="54"/>
        <v>1325.6</v>
      </c>
    </row>
    <row r="182" spans="1:14" s="53" customFormat="1" ht="12.75">
      <c r="A182" s="49">
        <v>5</v>
      </c>
      <c r="B182" s="50" t="s">
        <v>58</v>
      </c>
      <c r="C182" s="51">
        <f aca="true" t="shared" si="61" ref="C182:H182">C183+C184</f>
        <v>28611.4</v>
      </c>
      <c r="D182" s="51">
        <f t="shared" si="61"/>
        <v>12.94633484162896</v>
      </c>
      <c r="E182" s="51">
        <f t="shared" si="61"/>
        <v>128</v>
      </c>
      <c r="F182" s="51">
        <f t="shared" si="61"/>
        <v>0.0579185520361991</v>
      </c>
      <c r="G182" s="51">
        <f t="shared" si="61"/>
        <v>587.8999999999993</v>
      </c>
      <c r="H182" s="51">
        <f t="shared" si="61"/>
        <v>0.266018099547511</v>
      </c>
      <c r="I182" s="78">
        <f>K182</f>
        <v>2210</v>
      </c>
      <c r="J182" s="51">
        <f>J183+J184</f>
        <v>13.27027149321267</v>
      </c>
      <c r="K182" s="79">
        <v>2210</v>
      </c>
      <c r="L182" s="51">
        <f t="shared" si="53"/>
        <v>29327.3</v>
      </c>
      <c r="M182" s="51">
        <v>346.9</v>
      </c>
      <c r="N182" s="51">
        <f t="shared" si="54"/>
        <v>29674.2</v>
      </c>
    </row>
    <row r="183" spans="1:14" s="53" customFormat="1" ht="12.75">
      <c r="A183" s="49"/>
      <c r="B183" s="50" t="s">
        <v>7</v>
      </c>
      <c r="C183" s="50">
        <v>26315.7</v>
      </c>
      <c r="D183" s="54">
        <f>C183/I183</f>
        <v>11.907556561085974</v>
      </c>
      <c r="E183" s="54">
        <v>128</v>
      </c>
      <c r="F183" s="54">
        <f>E183/I183</f>
        <v>0.0579185520361991</v>
      </c>
      <c r="G183" s="54">
        <f>27378.5-C183-E183-M183</f>
        <v>587.8999999999993</v>
      </c>
      <c r="H183" s="54">
        <f>G183/I183</f>
        <v>0.266018099547511</v>
      </c>
      <c r="I183" s="77">
        <f>I182</f>
        <v>2210</v>
      </c>
      <c r="J183" s="54">
        <f>(D183+F183+H183)</f>
        <v>12.231493212669683</v>
      </c>
      <c r="K183" s="52">
        <f>K182</f>
        <v>2210</v>
      </c>
      <c r="L183" s="55">
        <f>J183*K183</f>
        <v>27031.6</v>
      </c>
      <c r="M183" s="55">
        <f>M182</f>
        <v>346.9</v>
      </c>
      <c r="N183" s="55">
        <f t="shared" si="54"/>
        <v>27378.5</v>
      </c>
    </row>
    <row r="184" spans="1:14" s="53" customFormat="1" ht="12.75">
      <c r="A184" s="49"/>
      <c r="B184" s="50" t="s">
        <v>155</v>
      </c>
      <c r="C184" s="50">
        <v>2295.7</v>
      </c>
      <c r="D184" s="54">
        <f>C184/I184</f>
        <v>1.0387782805429864</v>
      </c>
      <c r="E184" s="54"/>
      <c r="F184" s="54"/>
      <c r="G184" s="54"/>
      <c r="H184" s="54"/>
      <c r="I184" s="77">
        <f>I182</f>
        <v>2210</v>
      </c>
      <c r="J184" s="54">
        <f>(D184+F184+H184)</f>
        <v>1.0387782805429864</v>
      </c>
      <c r="K184" s="52">
        <f>K182</f>
        <v>2210</v>
      </c>
      <c r="L184" s="55">
        <f>J184*K184</f>
        <v>2295.7</v>
      </c>
      <c r="M184" s="55"/>
      <c r="N184" s="55">
        <f t="shared" si="54"/>
        <v>2295.7</v>
      </c>
    </row>
    <row r="185" spans="1:14" s="53" customFormat="1" ht="12.75">
      <c r="A185" s="49">
        <v>6</v>
      </c>
      <c r="B185" s="50" t="s">
        <v>59</v>
      </c>
      <c r="C185" s="51">
        <f aca="true" t="shared" si="62" ref="C185:H185">C186+C187</f>
        <v>9132.6</v>
      </c>
      <c r="D185" s="51">
        <f t="shared" si="62"/>
        <v>13.651121076233185</v>
      </c>
      <c r="E185" s="51">
        <f t="shared" si="62"/>
        <v>129</v>
      </c>
      <c r="F185" s="51">
        <f t="shared" si="62"/>
        <v>0.19282511210762332</v>
      </c>
      <c r="G185" s="51">
        <f t="shared" si="62"/>
        <v>99.79999999999927</v>
      </c>
      <c r="H185" s="51">
        <f t="shared" si="62"/>
        <v>0.1491778774289974</v>
      </c>
      <c r="I185" s="78">
        <f>K185</f>
        <v>669</v>
      </c>
      <c r="J185" s="51">
        <f>J186+J187</f>
        <v>13.993124065769805</v>
      </c>
      <c r="K185" s="79">
        <v>669</v>
      </c>
      <c r="L185" s="51">
        <f t="shared" si="53"/>
        <v>9361.4</v>
      </c>
      <c r="M185" s="51">
        <v>10</v>
      </c>
      <c r="N185" s="51">
        <f t="shared" si="54"/>
        <v>9371.4</v>
      </c>
    </row>
    <row r="186" spans="1:14" s="53" customFormat="1" ht="12.75">
      <c r="A186" s="49"/>
      <c r="B186" s="50" t="s">
        <v>7</v>
      </c>
      <c r="C186" s="50">
        <v>8275.2</v>
      </c>
      <c r="D186" s="54">
        <f>C186/I186</f>
        <v>12.3695067264574</v>
      </c>
      <c r="E186" s="54">
        <v>129</v>
      </c>
      <c r="F186" s="54">
        <f>E186/I186</f>
        <v>0.19282511210762332</v>
      </c>
      <c r="G186" s="54">
        <f>8514-C186-E186-M186</f>
        <v>99.79999999999927</v>
      </c>
      <c r="H186" s="54">
        <f>G186/I186</f>
        <v>0.1491778774289974</v>
      </c>
      <c r="I186" s="77">
        <f>I185</f>
        <v>669</v>
      </c>
      <c r="J186" s="54">
        <f>(D186+F186+H186)</f>
        <v>12.711509715994021</v>
      </c>
      <c r="K186" s="52">
        <f>K185</f>
        <v>669</v>
      </c>
      <c r="L186" s="55">
        <f t="shared" si="53"/>
        <v>8504</v>
      </c>
      <c r="M186" s="55">
        <f>M185</f>
        <v>10</v>
      </c>
      <c r="N186" s="55">
        <f t="shared" si="54"/>
        <v>8514</v>
      </c>
    </row>
    <row r="187" spans="1:14" s="53" customFormat="1" ht="12.75">
      <c r="A187" s="49"/>
      <c r="B187" s="50" t="s">
        <v>155</v>
      </c>
      <c r="C187" s="50">
        <v>857.4</v>
      </c>
      <c r="D187" s="54">
        <f>C187/I187</f>
        <v>1.2816143497757848</v>
      </c>
      <c r="E187" s="54"/>
      <c r="F187" s="54"/>
      <c r="G187" s="54"/>
      <c r="H187" s="54"/>
      <c r="I187" s="77">
        <f>I185</f>
        <v>669</v>
      </c>
      <c r="J187" s="54">
        <f>(D187+F187+H187)</f>
        <v>1.2816143497757848</v>
      </c>
      <c r="K187" s="52">
        <f>K185</f>
        <v>669</v>
      </c>
      <c r="L187" s="55">
        <f t="shared" si="53"/>
        <v>857.4000000000001</v>
      </c>
      <c r="M187" s="55"/>
      <c r="N187" s="55">
        <f t="shared" si="54"/>
        <v>857.4000000000001</v>
      </c>
    </row>
    <row r="188" spans="1:14" s="53" customFormat="1" ht="12.75">
      <c r="A188" s="49">
        <v>7</v>
      </c>
      <c r="B188" s="50" t="s">
        <v>60</v>
      </c>
      <c r="C188" s="51">
        <f aca="true" t="shared" si="63" ref="C188:H188">C189+C190</f>
        <v>19962.6</v>
      </c>
      <c r="D188" s="51">
        <f t="shared" si="63"/>
        <v>15.192237442922373</v>
      </c>
      <c r="E188" s="51">
        <f t="shared" si="63"/>
        <v>350.6</v>
      </c>
      <c r="F188" s="51">
        <f t="shared" si="63"/>
        <v>0.26681887366818874</v>
      </c>
      <c r="G188" s="51">
        <f t="shared" si="63"/>
        <v>734.9000000000021</v>
      </c>
      <c r="H188" s="51">
        <f t="shared" si="63"/>
        <v>0.5592846270928479</v>
      </c>
      <c r="I188" s="78">
        <f>K188</f>
        <v>1314</v>
      </c>
      <c r="J188" s="51">
        <f>J189+J190</f>
        <v>16.01834094368341</v>
      </c>
      <c r="K188" s="79">
        <v>1314</v>
      </c>
      <c r="L188" s="51">
        <f t="shared" si="53"/>
        <v>21048.1</v>
      </c>
      <c r="M188" s="51">
        <v>244.6</v>
      </c>
      <c r="N188" s="51">
        <f t="shared" si="54"/>
        <v>21292.699999999997</v>
      </c>
    </row>
    <row r="189" spans="1:14" s="53" customFormat="1" ht="12.75">
      <c r="A189" s="49"/>
      <c r="B189" s="50" t="s">
        <v>7</v>
      </c>
      <c r="C189" s="50">
        <v>18435.6</v>
      </c>
      <c r="D189" s="54">
        <f>C189/I189</f>
        <v>14.030136986301368</v>
      </c>
      <c r="E189" s="54">
        <v>350.6</v>
      </c>
      <c r="F189" s="54">
        <f>E189/I189</f>
        <v>0.26681887366818874</v>
      </c>
      <c r="G189" s="54">
        <f>19765.7-C189-E189-M189</f>
        <v>734.9000000000021</v>
      </c>
      <c r="H189" s="54">
        <f>G189/I189</f>
        <v>0.5592846270928479</v>
      </c>
      <c r="I189" s="77">
        <f>I188</f>
        <v>1314</v>
      </c>
      <c r="J189" s="54">
        <f>(D189+F189+H189)</f>
        <v>14.856240487062406</v>
      </c>
      <c r="K189" s="52">
        <f>K188</f>
        <v>1314</v>
      </c>
      <c r="L189" s="55">
        <f t="shared" si="53"/>
        <v>19521.100000000002</v>
      </c>
      <c r="M189" s="55">
        <f>M188</f>
        <v>244.6</v>
      </c>
      <c r="N189" s="55">
        <f t="shared" si="54"/>
        <v>19765.7</v>
      </c>
    </row>
    <row r="190" spans="1:14" s="53" customFormat="1" ht="12.75">
      <c r="A190" s="49"/>
      <c r="B190" s="50" t="s">
        <v>155</v>
      </c>
      <c r="C190" s="50">
        <v>1527</v>
      </c>
      <c r="D190" s="54">
        <f>C190/I190</f>
        <v>1.1621004566210045</v>
      </c>
      <c r="E190" s="54"/>
      <c r="F190" s="54"/>
      <c r="G190" s="54"/>
      <c r="H190" s="54"/>
      <c r="I190" s="77">
        <f>I188</f>
        <v>1314</v>
      </c>
      <c r="J190" s="54">
        <f>(D190+F190+H190)</f>
        <v>1.1621004566210045</v>
      </c>
      <c r="K190" s="52">
        <f>K188</f>
        <v>1314</v>
      </c>
      <c r="L190" s="55">
        <f t="shared" si="53"/>
        <v>1526.9999999999998</v>
      </c>
      <c r="M190" s="55"/>
      <c r="N190" s="55">
        <f t="shared" si="54"/>
        <v>1526.9999999999998</v>
      </c>
    </row>
    <row r="191" spans="1:14" s="53" customFormat="1" ht="12.75">
      <c r="A191" s="49">
        <v>8</v>
      </c>
      <c r="B191" s="50" t="s">
        <v>61</v>
      </c>
      <c r="C191" s="51">
        <f aca="true" t="shared" si="64" ref="C191:H191">C192+C193</f>
        <v>3388.5</v>
      </c>
      <c r="D191" s="51">
        <f t="shared" si="64"/>
        <v>14.480769230769232</v>
      </c>
      <c r="E191" s="51">
        <f t="shared" si="64"/>
        <v>59.3</v>
      </c>
      <c r="F191" s="51">
        <f t="shared" si="64"/>
        <v>0.2534188034188034</v>
      </c>
      <c r="G191" s="51">
        <f t="shared" si="64"/>
        <v>349.70000000000016</v>
      </c>
      <c r="H191" s="51">
        <f t="shared" si="64"/>
        <v>1.4944444444444451</v>
      </c>
      <c r="I191" s="78">
        <f>K191</f>
        <v>234</v>
      </c>
      <c r="J191" s="51">
        <f>J192+J193</f>
        <v>16.22863247863248</v>
      </c>
      <c r="K191" s="79">
        <v>234</v>
      </c>
      <c r="L191" s="51">
        <f t="shared" si="53"/>
        <v>3797.5000000000005</v>
      </c>
      <c r="M191" s="51">
        <v>86.8</v>
      </c>
      <c r="N191" s="51">
        <f t="shared" si="54"/>
        <v>3884.3000000000006</v>
      </c>
    </row>
    <row r="192" spans="1:14" s="53" customFormat="1" ht="12.75">
      <c r="A192" s="49"/>
      <c r="B192" s="50" t="s">
        <v>7</v>
      </c>
      <c r="C192" s="50">
        <v>3162.5</v>
      </c>
      <c r="D192" s="54">
        <f>C192/I192</f>
        <v>13.514957264957266</v>
      </c>
      <c r="E192" s="54">
        <v>59.3</v>
      </c>
      <c r="F192" s="54">
        <f>E192/I192</f>
        <v>0.2534188034188034</v>
      </c>
      <c r="G192" s="54">
        <f>3658.3-C192-E192-M192</f>
        <v>349.70000000000016</v>
      </c>
      <c r="H192" s="54">
        <f>G192/I192</f>
        <v>1.4944444444444451</v>
      </c>
      <c r="I192" s="77">
        <f>I191</f>
        <v>234</v>
      </c>
      <c r="J192" s="54">
        <f>(D192+F192+H192)</f>
        <v>15.262820512820515</v>
      </c>
      <c r="K192" s="52">
        <f>K191</f>
        <v>234</v>
      </c>
      <c r="L192" s="55">
        <f t="shared" si="53"/>
        <v>3571.5000000000005</v>
      </c>
      <c r="M192" s="55">
        <f>M191</f>
        <v>86.8</v>
      </c>
      <c r="N192" s="55">
        <f t="shared" si="54"/>
        <v>3658.3000000000006</v>
      </c>
    </row>
    <row r="193" spans="1:14" s="53" customFormat="1" ht="12.75">
      <c r="A193" s="49"/>
      <c r="B193" s="50" t="s">
        <v>155</v>
      </c>
      <c r="C193" s="50">
        <v>226</v>
      </c>
      <c r="D193" s="54">
        <f>C193/I193</f>
        <v>0.9658119658119658</v>
      </c>
      <c r="E193" s="54"/>
      <c r="F193" s="54"/>
      <c r="G193" s="54"/>
      <c r="H193" s="54"/>
      <c r="I193" s="77">
        <f>I191</f>
        <v>234</v>
      </c>
      <c r="J193" s="54">
        <f>(D193+F193+H193)</f>
        <v>0.9658119658119658</v>
      </c>
      <c r="K193" s="52">
        <f>K191</f>
        <v>234</v>
      </c>
      <c r="L193" s="55">
        <f t="shared" si="53"/>
        <v>226</v>
      </c>
      <c r="M193" s="55"/>
      <c r="N193" s="55">
        <f t="shared" si="54"/>
        <v>226</v>
      </c>
    </row>
    <row r="194" spans="1:14" s="53" customFormat="1" ht="12.75">
      <c r="A194" s="49"/>
      <c r="B194" s="5" t="s">
        <v>158</v>
      </c>
      <c r="C194" s="50">
        <f>C195+C196</f>
        <v>111689.6</v>
      </c>
      <c r="D194" s="54"/>
      <c r="E194" s="54"/>
      <c r="F194" s="54"/>
      <c r="G194" s="54"/>
      <c r="H194" s="54"/>
      <c r="I194" s="77"/>
      <c r="J194" s="54"/>
      <c r="K194" s="80">
        <f>K191+K188+K185+K182+K179+K176+K173+K170</f>
        <v>11039</v>
      </c>
      <c r="L194" s="51">
        <f>L191+L188+L185+L182+L179+L176+L173+L170</f>
        <v>115081.40000000001</v>
      </c>
      <c r="M194" s="51">
        <f>M191+M188+M185+M182+M179+M176+M173+M170</f>
        <v>950.8</v>
      </c>
      <c r="N194" s="51">
        <f>N191+N188+N185+N182+N179+N176+N173+N170</f>
        <v>116032.2</v>
      </c>
    </row>
    <row r="195" spans="1:14" s="53" customFormat="1" ht="12">
      <c r="A195" s="49"/>
      <c r="B195" s="5" t="s">
        <v>7</v>
      </c>
      <c r="C195" s="50">
        <f>C192+C189+C186+C183+C180+C177+C174+C171</f>
        <v>102660.5</v>
      </c>
      <c r="D195" s="50"/>
      <c r="E195" s="50">
        <f aca="true" t="shared" si="65" ref="E195:N195">E192+E189+E186+E183+E180+E177+E174+E171</f>
        <v>805.6000000000001</v>
      </c>
      <c r="F195" s="50"/>
      <c r="G195" s="50">
        <f t="shared" si="65"/>
        <v>2586.199999999999</v>
      </c>
      <c r="H195" s="50"/>
      <c r="I195" s="50">
        <f t="shared" si="65"/>
        <v>11039</v>
      </c>
      <c r="J195" s="50"/>
      <c r="K195" s="50">
        <f t="shared" si="65"/>
        <v>11039</v>
      </c>
      <c r="L195" s="50">
        <f t="shared" si="65"/>
        <v>106052.29999999999</v>
      </c>
      <c r="M195" s="50">
        <f t="shared" si="65"/>
        <v>950.8</v>
      </c>
      <c r="N195" s="50">
        <f t="shared" si="65"/>
        <v>107003.1</v>
      </c>
    </row>
    <row r="196" spans="1:14" s="53" customFormat="1" ht="12">
      <c r="A196" s="49"/>
      <c r="B196" s="5" t="s">
        <v>155</v>
      </c>
      <c r="C196" s="50">
        <f>C193+C190+C187+C184+C181+C178+C175+C172</f>
        <v>9029.100000000002</v>
      </c>
      <c r="D196" s="50"/>
      <c r="E196" s="50">
        <f aca="true" t="shared" si="66" ref="E196:N196">E193+E190+E187+E184+E181+E178+E175+E172</f>
        <v>0</v>
      </c>
      <c r="F196" s="50"/>
      <c r="G196" s="50">
        <f t="shared" si="66"/>
        <v>0</v>
      </c>
      <c r="H196" s="50"/>
      <c r="I196" s="50">
        <f t="shared" si="66"/>
        <v>11039</v>
      </c>
      <c r="J196" s="50"/>
      <c r="K196" s="50">
        <f t="shared" si="66"/>
        <v>11039</v>
      </c>
      <c r="L196" s="50">
        <f t="shared" si="66"/>
        <v>9029.1</v>
      </c>
      <c r="M196" s="50">
        <f t="shared" si="66"/>
        <v>0</v>
      </c>
      <c r="N196" s="50">
        <f t="shared" si="66"/>
        <v>9029.1</v>
      </c>
    </row>
    <row r="197" spans="1:14" s="53" customFormat="1" ht="12.75">
      <c r="A197" s="49"/>
      <c r="B197" s="76" t="s">
        <v>147</v>
      </c>
      <c r="C197" s="50"/>
      <c r="D197" s="50"/>
      <c r="E197" s="50"/>
      <c r="F197" s="54"/>
      <c r="G197" s="54"/>
      <c r="H197" s="54"/>
      <c r="I197" s="77"/>
      <c r="J197" s="54"/>
      <c r="K197" s="51"/>
      <c r="L197" s="51">
        <f>L194/K195</f>
        <v>10.424984147114776</v>
      </c>
      <c r="M197" s="51"/>
      <c r="N197" s="51">
        <f>N194/K194</f>
        <v>10.511115137240692</v>
      </c>
    </row>
    <row r="198" spans="1:14" ht="12.75">
      <c r="A198" s="7"/>
      <c r="B198" s="6"/>
      <c r="C198" s="5"/>
      <c r="D198" s="5"/>
      <c r="E198" s="5"/>
      <c r="F198" s="10"/>
      <c r="G198" s="10"/>
      <c r="H198" s="10"/>
      <c r="I198" s="29"/>
      <c r="J198" s="10"/>
      <c r="K198" s="19"/>
      <c r="L198" s="19"/>
      <c r="M198" s="19"/>
      <c r="N198" s="19"/>
    </row>
    <row r="199" spans="1:14" ht="12.75">
      <c r="A199" s="7"/>
      <c r="B199" s="6" t="s">
        <v>131</v>
      </c>
      <c r="C199" s="6"/>
      <c r="D199" s="10"/>
      <c r="E199" s="10"/>
      <c r="F199" s="10"/>
      <c r="G199" s="10"/>
      <c r="H199" s="10"/>
      <c r="I199" s="29"/>
      <c r="J199" s="10"/>
      <c r="K199" s="17"/>
      <c r="L199" s="18"/>
      <c r="M199" s="19"/>
      <c r="N199" s="19"/>
    </row>
    <row r="200" spans="1:14" ht="12.75">
      <c r="A200" s="7"/>
      <c r="B200" s="6"/>
      <c r="C200" s="6"/>
      <c r="D200" s="10"/>
      <c r="E200" s="10"/>
      <c r="F200" s="10"/>
      <c r="G200" s="10"/>
      <c r="H200" s="10"/>
      <c r="I200" s="29"/>
      <c r="J200" s="10"/>
      <c r="K200" s="17"/>
      <c r="L200" s="18"/>
      <c r="M200" s="19"/>
      <c r="N200" s="19"/>
    </row>
    <row r="201" spans="1:14" ht="45" customHeight="1">
      <c r="A201" s="7"/>
      <c r="B201" s="46" t="s">
        <v>153</v>
      </c>
      <c r="C201" s="47"/>
      <c r="D201" s="5"/>
      <c r="E201" s="5"/>
      <c r="F201" s="5"/>
      <c r="G201" s="5"/>
      <c r="H201" s="5"/>
      <c r="I201" s="5"/>
      <c r="J201" s="5"/>
      <c r="K201" s="5"/>
      <c r="L201" s="18"/>
      <c r="M201" s="21"/>
      <c r="N201" s="19"/>
    </row>
    <row r="202" spans="1:14" ht="12.75">
      <c r="A202" s="7" t="s">
        <v>132</v>
      </c>
      <c r="B202" s="6" t="s">
        <v>133</v>
      </c>
      <c r="C202" s="9">
        <f aca="true" t="shared" si="67" ref="C202:H202">C203+C204</f>
        <v>9120.5</v>
      </c>
      <c r="D202" s="9">
        <f t="shared" si="67"/>
        <v>65.14642857142856</v>
      </c>
      <c r="E202" s="9">
        <f t="shared" si="67"/>
        <v>0</v>
      </c>
      <c r="F202" s="9">
        <f t="shared" si="67"/>
        <v>0</v>
      </c>
      <c r="G202" s="9">
        <f t="shared" si="67"/>
        <v>3177.4000000000015</v>
      </c>
      <c r="H202" s="9">
        <f t="shared" si="67"/>
        <v>22.695714285714295</v>
      </c>
      <c r="I202" s="28">
        <f>K202</f>
        <v>140</v>
      </c>
      <c r="J202" s="9">
        <f>J203+J204</f>
        <v>87.84214285714286</v>
      </c>
      <c r="K202" s="74">
        <v>140</v>
      </c>
      <c r="L202" s="9">
        <f t="shared" si="53"/>
        <v>12297.9</v>
      </c>
      <c r="M202" s="19">
        <v>20</v>
      </c>
      <c r="N202" s="19">
        <f t="shared" si="54"/>
        <v>12317.9</v>
      </c>
    </row>
    <row r="203" spans="1:14" ht="12.75">
      <c r="A203" s="7"/>
      <c r="B203" s="5" t="s">
        <v>7</v>
      </c>
      <c r="C203" s="5">
        <v>8882.3</v>
      </c>
      <c r="D203" s="10">
        <f>C203/I203</f>
        <v>63.44499999999999</v>
      </c>
      <c r="E203" s="10">
        <v>0</v>
      </c>
      <c r="F203" s="54">
        <f>E203/I203</f>
        <v>0</v>
      </c>
      <c r="G203" s="10">
        <f>12079.7-C203-E203-M203</f>
        <v>3177.4000000000015</v>
      </c>
      <c r="H203" s="10">
        <f>G203/I203</f>
        <v>22.695714285714295</v>
      </c>
      <c r="I203" s="29">
        <f>I202</f>
        <v>140</v>
      </c>
      <c r="J203" s="10">
        <f>(D203+F203+H203)</f>
        <v>86.1407142857143</v>
      </c>
      <c r="K203" s="17">
        <f>K202</f>
        <v>140</v>
      </c>
      <c r="L203" s="18">
        <f t="shared" si="53"/>
        <v>12059.7</v>
      </c>
      <c r="M203" s="21">
        <f>M202</f>
        <v>20</v>
      </c>
      <c r="N203" s="21">
        <f t="shared" si="54"/>
        <v>12079.7</v>
      </c>
    </row>
    <row r="204" spans="1:14" ht="12.75">
      <c r="A204" s="7"/>
      <c r="B204" s="5" t="s">
        <v>155</v>
      </c>
      <c r="C204" s="5">
        <v>238.2</v>
      </c>
      <c r="D204" s="10">
        <f>C204/I204</f>
        <v>1.7014285714285713</v>
      </c>
      <c r="E204" s="10"/>
      <c r="F204" s="10"/>
      <c r="G204" s="10"/>
      <c r="H204" s="10"/>
      <c r="I204" s="29">
        <f>I202</f>
        <v>140</v>
      </c>
      <c r="J204" s="10">
        <f>(D204+F204+H204)</f>
        <v>1.7014285714285713</v>
      </c>
      <c r="K204" s="17">
        <f>K202</f>
        <v>140</v>
      </c>
      <c r="L204" s="18">
        <f t="shared" si="53"/>
        <v>238.2</v>
      </c>
      <c r="M204" s="21"/>
      <c r="N204" s="21">
        <f t="shared" si="54"/>
        <v>238.2</v>
      </c>
    </row>
    <row r="205" spans="1:14" ht="12.75">
      <c r="A205" s="7"/>
      <c r="B205" s="5"/>
      <c r="C205" s="5"/>
      <c r="D205" s="10"/>
      <c r="E205" s="10"/>
      <c r="F205" s="10"/>
      <c r="G205" s="10"/>
      <c r="H205" s="10"/>
      <c r="I205" s="29"/>
      <c r="J205" s="10"/>
      <c r="K205" s="17"/>
      <c r="L205" s="18"/>
      <c r="M205" s="19"/>
      <c r="N205" s="19"/>
    </row>
    <row r="206" spans="1:14" ht="12.75">
      <c r="A206" s="7"/>
      <c r="B206" s="6" t="s">
        <v>149</v>
      </c>
      <c r="C206" s="5"/>
      <c r="D206" s="10"/>
      <c r="E206" s="10"/>
      <c r="F206" s="10"/>
      <c r="G206" s="10"/>
      <c r="H206" s="10"/>
      <c r="I206" s="29"/>
      <c r="J206" s="10"/>
      <c r="K206" s="17"/>
      <c r="L206" s="9">
        <f>L202/K204</f>
        <v>87.84214285714286</v>
      </c>
      <c r="M206" s="19"/>
      <c r="N206" s="19">
        <f>N202/K202</f>
        <v>87.985</v>
      </c>
    </row>
    <row r="207" spans="1:14" ht="12.75">
      <c r="A207" s="7"/>
      <c r="B207" s="6"/>
      <c r="C207" s="5"/>
      <c r="D207" s="10"/>
      <c r="E207" s="10"/>
      <c r="F207" s="10"/>
      <c r="G207" s="10"/>
      <c r="H207" s="10"/>
      <c r="I207" s="29"/>
      <c r="J207" s="10"/>
      <c r="K207" s="17"/>
      <c r="L207" s="18"/>
      <c r="M207" s="19"/>
      <c r="N207" s="19"/>
    </row>
    <row r="208" spans="1:14" ht="27.75" customHeight="1">
      <c r="A208" s="7"/>
      <c r="B208" s="46" t="s">
        <v>154</v>
      </c>
      <c r="C208" s="48"/>
      <c r="D208" s="6"/>
      <c r="E208" s="6"/>
      <c r="F208" s="6"/>
      <c r="G208" s="6"/>
      <c r="H208" s="6"/>
      <c r="I208" s="6"/>
      <c r="J208" s="6"/>
      <c r="K208" s="6"/>
      <c r="L208" s="18"/>
      <c r="M208" s="19"/>
      <c r="N208" s="19"/>
    </row>
    <row r="209" spans="1:14" ht="12.75">
      <c r="A209" s="7"/>
      <c r="B209" s="6" t="s">
        <v>62</v>
      </c>
      <c r="C209" s="6"/>
      <c r="D209" s="11"/>
      <c r="E209" s="11"/>
      <c r="F209" s="11"/>
      <c r="G209" s="11"/>
      <c r="H209" s="11"/>
      <c r="I209" s="29"/>
      <c r="J209" s="11"/>
      <c r="K209" s="17"/>
      <c r="L209" s="18"/>
      <c r="M209" s="21"/>
      <c r="N209" s="19"/>
    </row>
    <row r="210" spans="1:14" ht="12.75">
      <c r="A210" s="7">
        <v>1</v>
      </c>
      <c r="B210" s="5" t="s">
        <v>63</v>
      </c>
      <c r="C210" s="9">
        <f aca="true" t="shared" si="68" ref="C210:H210">C211+C212</f>
        <v>20185.5</v>
      </c>
      <c r="D210" s="9">
        <f t="shared" si="68"/>
        <v>87.76304347826087</v>
      </c>
      <c r="E210" s="9">
        <f t="shared" si="68"/>
        <v>888.3</v>
      </c>
      <c r="F210" s="9">
        <f t="shared" si="68"/>
        <v>3.862173913043478</v>
      </c>
      <c r="G210" s="9">
        <f t="shared" si="68"/>
        <v>808.1000000000015</v>
      </c>
      <c r="H210" s="9">
        <f t="shared" si="68"/>
        <v>3.513478260869572</v>
      </c>
      <c r="I210" s="28">
        <f>K210</f>
        <v>230</v>
      </c>
      <c r="J210" s="9">
        <f>J211+J212</f>
        <v>95.13869565217391</v>
      </c>
      <c r="K210" s="74">
        <v>230</v>
      </c>
      <c r="L210" s="9">
        <f t="shared" si="53"/>
        <v>21881.899999999998</v>
      </c>
      <c r="M210" s="19">
        <v>673.7</v>
      </c>
      <c r="N210" s="19">
        <f t="shared" si="54"/>
        <v>22555.6</v>
      </c>
    </row>
    <row r="211" spans="1:14" ht="12.75">
      <c r="A211" s="7"/>
      <c r="B211" s="5" t="s">
        <v>7</v>
      </c>
      <c r="C211" s="5">
        <v>2396.4</v>
      </c>
      <c r="D211" s="10">
        <f>C211/I211</f>
        <v>10.419130434782609</v>
      </c>
      <c r="E211" s="10">
        <v>888.3</v>
      </c>
      <c r="F211" s="54">
        <f>E211/I211</f>
        <v>3.862173913043478</v>
      </c>
      <c r="G211" s="10">
        <f>4437.4-E211-C211-M211</f>
        <v>478.9999999999993</v>
      </c>
      <c r="H211" s="10">
        <f>G211/I211</f>
        <v>2.082608695652171</v>
      </c>
      <c r="I211" s="29">
        <f>I210</f>
        <v>230</v>
      </c>
      <c r="J211" s="10">
        <f>(D211+F211+H211)</f>
        <v>16.363913043478256</v>
      </c>
      <c r="K211" s="17">
        <f>K210</f>
        <v>230</v>
      </c>
      <c r="L211" s="18">
        <f t="shared" si="53"/>
        <v>3763.699999999999</v>
      </c>
      <c r="M211" s="21">
        <f>M210</f>
        <v>673.7</v>
      </c>
      <c r="N211" s="21">
        <f t="shared" si="54"/>
        <v>4437.399999999999</v>
      </c>
    </row>
    <row r="212" spans="1:14" ht="12.75">
      <c r="A212" s="7"/>
      <c r="B212" s="5" t="s">
        <v>155</v>
      </c>
      <c r="C212" s="5">
        <v>17789.1</v>
      </c>
      <c r="D212" s="10">
        <f>C212/I212</f>
        <v>77.34391304347825</v>
      </c>
      <c r="E212" s="10"/>
      <c r="F212" s="10"/>
      <c r="G212" s="10">
        <f>18118.2-E212-C212-M212</f>
        <v>329.1000000000022</v>
      </c>
      <c r="H212" s="10">
        <f>G212/I212</f>
        <v>1.4308695652174008</v>
      </c>
      <c r="I212" s="29">
        <f>I210</f>
        <v>230</v>
      </c>
      <c r="J212" s="10">
        <f>(D212+F212+H212)</f>
        <v>78.77478260869566</v>
      </c>
      <c r="K212" s="17">
        <f>K210</f>
        <v>230</v>
      </c>
      <c r="L212" s="18">
        <f t="shared" si="53"/>
        <v>18118.2</v>
      </c>
      <c r="M212" s="21"/>
      <c r="N212" s="21">
        <f t="shared" si="54"/>
        <v>18118.2</v>
      </c>
    </row>
    <row r="213" spans="1:14" ht="12.75">
      <c r="A213" s="7">
        <v>2</v>
      </c>
      <c r="B213" s="5" t="s">
        <v>64</v>
      </c>
      <c r="C213" s="9">
        <f aca="true" t="shared" si="69" ref="C213:H213">C214+C215</f>
        <v>21284.5</v>
      </c>
      <c r="D213" s="9">
        <f t="shared" si="69"/>
        <v>92.94541484716157</v>
      </c>
      <c r="E213" s="9">
        <f t="shared" si="69"/>
        <v>654.2</v>
      </c>
      <c r="F213" s="9">
        <f t="shared" si="69"/>
        <v>2.8567685589519654</v>
      </c>
      <c r="G213" s="9">
        <f t="shared" si="69"/>
        <v>828.8000000000003</v>
      </c>
      <c r="H213" s="9">
        <f t="shared" si="69"/>
        <v>3.619213973799128</v>
      </c>
      <c r="I213" s="28">
        <f>K213</f>
        <v>229</v>
      </c>
      <c r="J213" s="9">
        <f>J214+J215</f>
        <v>99.42139737991266</v>
      </c>
      <c r="K213" s="74">
        <v>229</v>
      </c>
      <c r="L213" s="9">
        <f t="shared" si="53"/>
        <v>22767.5</v>
      </c>
      <c r="M213" s="19">
        <v>319.4</v>
      </c>
      <c r="N213" s="19">
        <f t="shared" si="54"/>
        <v>23086.9</v>
      </c>
    </row>
    <row r="214" spans="1:14" ht="12.75">
      <c r="A214" s="7"/>
      <c r="B214" s="5" t="s">
        <v>7</v>
      </c>
      <c r="C214" s="5">
        <v>3144.4</v>
      </c>
      <c r="D214" s="10">
        <f>C214/I214</f>
        <v>13.731004366812227</v>
      </c>
      <c r="E214" s="10">
        <v>654.2</v>
      </c>
      <c r="F214" s="54">
        <f>E214/I214</f>
        <v>2.8567685589519654</v>
      </c>
      <c r="G214" s="10">
        <f>4633.3-E214-C214-M214</f>
        <v>515.3000000000003</v>
      </c>
      <c r="H214" s="10">
        <f>G214/I214</f>
        <v>2.250218340611355</v>
      </c>
      <c r="I214" s="29">
        <f>I213</f>
        <v>229</v>
      </c>
      <c r="J214" s="10">
        <f>(D214+F214+H214)</f>
        <v>18.837991266375546</v>
      </c>
      <c r="K214" s="17">
        <f>K213</f>
        <v>229</v>
      </c>
      <c r="L214" s="18">
        <f t="shared" si="53"/>
        <v>4313.9</v>
      </c>
      <c r="M214" s="21">
        <f>M213</f>
        <v>319.4</v>
      </c>
      <c r="N214" s="21">
        <f t="shared" si="54"/>
        <v>4633.299999999999</v>
      </c>
    </row>
    <row r="215" spans="1:14" ht="12.75">
      <c r="A215" s="7"/>
      <c r="B215" s="5" t="s">
        <v>155</v>
      </c>
      <c r="C215" s="5">
        <v>18140.1</v>
      </c>
      <c r="D215" s="10">
        <f>C215/I215</f>
        <v>79.21441048034934</v>
      </c>
      <c r="E215" s="10"/>
      <c r="F215" s="10"/>
      <c r="G215" s="10">
        <f>18453.6-E215-C215-M215</f>
        <v>313.5</v>
      </c>
      <c r="H215" s="10">
        <f>G215/I215</f>
        <v>1.3689956331877728</v>
      </c>
      <c r="I215" s="29">
        <f>I213</f>
        <v>229</v>
      </c>
      <c r="J215" s="10">
        <f>(D215+F215+H215)</f>
        <v>80.58340611353712</v>
      </c>
      <c r="K215" s="17">
        <f>K213</f>
        <v>229</v>
      </c>
      <c r="L215" s="18">
        <f t="shared" si="53"/>
        <v>18453.600000000002</v>
      </c>
      <c r="M215" s="19"/>
      <c r="N215" s="21">
        <f t="shared" si="54"/>
        <v>18453.600000000002</v>
      </c>
    </row>
    <row r="216" spans="1:14" ht="12.75">
      <c r="A216" s="7">
        <v>3</v>
      </c>
      <c r="B216" s="5" t="s">
        <v>65</v>
      </c>
      <c r="C216" s="9">
        <f aca="true" t="shared" si="70" ref="C216:H216">C217+C218</f>
        <v>24151.3</v>
      </c>
      <c r="D216" s="9">
        <f t="shared" si="70"/>
        <v>101.9042194092827</v>
      </c>
      <c r="E216" s="9">
        <f t="shared" si="70"/>
        <v>985.9</v>
      </c>
      <c r="F216" s="9">
        <f t="shared" si="70"/>
        <v>4.159915611814346</v>
      </c>
      <c r="G216" s="9">
        <f t="shared" si="70"/>
        <v>823.7999999999988</v>
      </c>
      <c r="H216" s="9">
        <f t="shared" si="70"/>
        <v>3.4759493670886026</v>
      </c>
      <c r="I216" s="28">
        <f>K216</f>
        <v>237</v>
      </c>
      <c r="J216" s="9">
        <f>J217+J218</f>
        <v>109.54008438818565</v>
      </c>
      <c r="K216" s="74">
        <v>237</v>
      </c>
      <c r="L216" s="9">
        <f t="shared" si="53"/>
        <v>25961</v>
      </c>
      <c r="M216" s="19">
        <v>602</v>
      </c>
      <c r="N216" s="19">
        <f t="shared" si="54"/>
        <v>26563</v>
      </c>
    </row>
    <row r="217" spans="1:14" ht="12.75">
      <c r="A217" s="7"/>
      <c r="B217" s="5" t="s">
        <v>7</v>
      </c>
      <c r="C217" s="5">
        <v>2791.3</v>
      </c>
      <c r="D217" s="10">
        <f>C217/I217</f>
        <v>11.777637130801688</v>
      </c>
      <c r="E217" s="10">
        <v>985.9</v>
      </c>
      <c r="F217" s="54">
        <f>E217/I217</f>
        <v>4.159915611814346</v>
      </c>
      <c r="G217" s="10">
        <f>4810.7-E217-C217-M217</f>
        <v>431.49999999999955</v>
      </c>
      <c r="H217" s="10">
        <f>G217/I217</f>
        <v>1.8206751054852301</v>
      </c>
      <c r="I217" s="73">
        <f aca="true" t="shared" si="71" ref="I217:I280">K217</f>
        <v>237</v>
      </c>
      <c r="J217" s="10">
        <f>(D217+F217+H217)</f>
        <v>17.758227848101264</v>
      </c>
      <c r="K217" s="17">
        <f>K216</f>
        <v>237</v>
      </c>
      <c r="L217" s="18">
        <f t="shared" si="53"/>
        <v>4208.7</v>
      </c>
      <c r="M217" s="21">
        <f>M216</f>
        <v>602</v>
      </c>
      <c r="N217" s="21">
        <f t="shared" si="54"/>
        <v>4810.7</v>
      </c>
    </row>
    <row r="218" spans="1:14" ht="12.75">
      <c r="A218" s="7"/>
      <c r="B218" s="5" t="s">
        <v>155</v>
      </c>
      <c r="C218" s="5">
        <v>21360</v>
      </c>
      <c r="D218" s="10">
        <f>C218/I218</f>
        <v>90.12658227848101</v>
      </c>
      <c r="E218" s="10"/>
      <c r="F218" s="10"/>
      <c r="G218" s="10">
        <f>21752.3-E218-C218-M218</f>
        <v>392.2999999999993</v>
      </c>
      <c r="H218" s="10">
        <f>G218/I218</f>
        <v>1.6552742616033724</v>
      </c>
      <c r="I218" s="73">
        <f t="shared" si="71"/>
        <v>237</v>
      </c>
      <c r="J218" s="10">
        <f>(D218+F218+H218)</f>
        <v>91.78185654008438</v>
      </c>
      <c r="K218" s="17">
        <f>K216</f>
        <v>237</v>
      </c>
      <c r="L218" s="18">
        <f t="shared" si="53"/>
        <v>21752.299999999996</v>
      </c>
      <c r="M218" s="21"/>
      <c r="N218" s="21">
        <f t="shared" si="54"/>
        <v>21752.299999999996</v>
      </c>
    </row>
    <row r="219" spans="1:14" ht="12.75">
      <c r="A219" s="7">
        <v>4</v>
      </c>
      <c r="B219" s="5" t="s">
        <v>66</v>
      </c>
      <c r="C219" s="9">
        <f aca="true" t="shared" si="72" ref="C219:H219">C220+C221</f>
        <v>11618.6</v>
      </c>
      <c r="D219" s="9">
        <f t="shared" si="72"/>
        <v>103.7375</v>
      </c>
      <c r="E219" s="9">
        <f t="shared" si="72"/>
        <v>564</v>
      </c>
      <c r="F219" s="9">
        <f t="shared" si="72"/>
        <v>5.035714285714286</v>
      </c>
      <c r="G219" s="9">
        <f t="shared" si="72"/>
        <v>874.1000000000001</v>
      </c>
      <c r="H219" s="9">
        <f t="shared" si="72"/>
        <v>7.804464285714287</v>
      </c>
      <c r="I219" s="28">
        <f t="shared" si="71"/>
        <v>112</v>
      </c>
      <c r="J219" s="9">
        <f>J220+J221</f>
        <v>116.57767857142858</v>
      </c>
      <c r="K219" s="74">
        <v>112</v>
      </c>
      <c r="L219" s="9">
        <f t="shared" si="53"/>
        <v>13056.7</v>
      </c>
      <c r="M219" s="19">
        <v>518.7</v>
      </c>
      <c r="N219" s="19">
        <f t="shared" si="54"/>
        <v>13575.400000000001</v>
      </c>
    </row>
    <row r="220" spans="1:14" ht="12.75">
      <c r="A220" s="7"/>
      <c r="B220" s="5" t="s">
        <v>7</v>
      </c>
      <c r="C220" s="5">
        <v>1878</v>
      </c>
      <c r="D220" s="10">
        <f>C220/I220</f>
        <v>16.767857142857142</v>
      </c>
      <c r="E220" s="10">
        <v>564</v>
      </c>
      <c r="F220" s="54">
        <f>E220/I220</f>
        <v>5.035714285714286</v>
      </c>
      <c r="G220" s="10">
        <f>3644.2-E220-C220-M220</f>
        <v>683.4999999999998</v>
      </c>
      <c r="H220" s="10">
        <f>G220/I220</f>
        <v>6.102678571428569</v>
      </c>
      <c r="I220" s="73">
        <f t="shared" si="71"/>
        <v>112</v>
      </c>
      <c r="J220" s="10">
        <f>(D220+F220+H220)</f>
        <v>27.906249999999996</v>
      </c>
      <c r="K220" s="17">
        <f>K219</f>
        <v>112</v>
      </c>
      <c r="L220" s="18">
        <f t="shared" si="53"/>
        <v>3125.4999999999995</v>
      </c>
      <c r="M220" s="21">
        <f>M219</f>
        <v>518.7</v>
      </c>
      <c r="N220" s="21">
        <f t="shared" si="54"/>
        <v>3644.2</v>
      </c>
    </row>
    <row r="221" spans="1:14" ht="12.75">
      <c r="A221" s="7"/>
      <c r="B221" s="5" t="s">
        <v>155</v>
      </c>
      <c r="C221" s="5">
        <v>9740.6</v>
      </c>
      <c r="D221" s="10">
        <f>C221/I221</f>
        <v>86.96964285714286</v>
      </c>
      <c r="E221" s="10"/>
      <c r="F221" s="10"/>
      <c r="G221" s="10">
        <f>9931.2-E221-C221-M221</f>
        <v>190.60000000000036</v>
      </c>
      <c r="H221" s="10">
        <f>G221/I221</f>
        <v>1.7017857142857176</v>
      </c>
      <c r="I221" s="73">
        <f t="shared" si="71"/>
        <v>112</v>
      </c>
      <c r="J221" s="10">
        <f>(D221+F221+H221)</f>
        <v>88.67142857142858</v>
      </c>
      <c r="K221" s="17">
        <f>K219</f>
        <v>112</v>
      </c>
      <c r="L221" s="18">
        <f t="shared" si="53"/>
        <v>9931.2</v>
      </c>
      <c r="M221" s="21"/>
      <c r="N221" s="21">
        <f t="shared" si="54"/>
        <v>9931.2</v>
      </c>
    </row>
    <row r="222" spans="1:14" ht="12.75">
      <c r="A222" s="7">
        <v>5</v>
      </c>
      <c r="B222" s="5" t="s">
        <v>67</v>
      </c>
      <c r="C222" s="9">
        <f aca="true" t="shared" si="73" ref="C222:H222">C223+C224</f>
        <v>9770.199999999999</v>
      </c>
      <c r="D222" s="9">
        <f t="shared" si="73"/>
        <v>82.10252100840336</v>
      </c>
      <c r="E222" s="9">
        <f t="shared" si="73"/>
        <v>491.9</v>
      </c>
      <c r="F222" s="9">
        <f t="shared" si="73"/>
        <v>4.133613445378151</v>
      </c>
      <c r="G222" s="9">
        <f t="shared" si="73"/>
        <v>690.0000000000001</v>
      </c>
      <c r="H222" s="9">
        <f t="shared" si="73"/>
        <v>5.798319327731093</v>
      </c>
      <c r="I222" s="28">
        <f t="shared" si="71"/>
        <v>119</v>
      </c>
      <c r="J222" s="9">
        <f>J223+J224</f>
        <v>92.03445378151261</v>
      </c>
      <c r="K222" s="74">
        <v>119</v>
      </c>
      <c r="L222" s="9">
        <f t="shared" si="53"/>
        <v>10952.1</v>
      </c>
      <c r="M222" s="19">
        <v>260.6</v>
      </c>
      <c r="N222" s="19">
        <f t="shared" si="54"/>
        <v>11212.7</v>
      </c>
    </row>
    <row r="223" spans="1:14" ht="12.75">
      <c r="A223" s="7"/>
      <c r="B223" s="5" t="s">
        <v>7</v>
      </c>
      <c r="C223" s="5">
        <v>1463.3</v>
      </c>
      <c r="D223" s="10">
        <f>C223/I223</f>
        <v>12.296638655462184</v>
      </c>
      <c r="E223" s="10">
        <v>491.9</v>
      </c>
      <c r="F223" s="54">
        <f>E223/I223</f>
        <v>4.133613445378151</v>
      </c>
      <c r="G223" s="10">
        <f>2657.2-E223-C223-M223</f>
        <v>441.39999999999975</v>
      </c>
      <c r="H223" s="10">
        <f>G223/I223</f>
        <v>3.7092436974789895</v>
      </c>
      <c r="I223" s="73">
        <f t="shared" si="71"/>
        <v>119</v>
      </c>
      <c r="J223" s="10">
        <f>(D223+F223+H223)</f>
        <v>20.139495798319324</v>
      </c>
      <c r="K223" s="17">
        <f>K222</f>
        <v>119</v>
      </c>
      <c r="L223" s="18">
        <f t="shared" si="53"/>
        <v>2396.5999999999995</v>
      </c>
      <c r="M223" s="21">
        <f>M222</f>
        <v>260.6</v>
      </c>
      <c r="N223" s="21">
        <f t="shared" si="54"/>
        <v>2657.1999999999994</v>
      </c>
    </row>
    <row r="224" spans="1:14" ht="12.75">
      <c r="A224" s="7"/>
      <c r="B224" s="5" t="s">
        <v>155</v>
      </c>
      <c r="C224" s="5">
        <v>8306.9</v>
      </c>
      <c r="D224" s="10">
        <f>C224/I224</f>
        <v>69.80588235294117</v>
      </c>
      <c r="E224" s="10"/>
      <c r="F224" s="10"/>
      <c r="G224" s="10">
        <f>8555.5-E224-C224-M224</f>
        <v>248.60000000000036</v>
      </c>
      <c r="H224" s="10">
        <f>G224/I224</f>
        <v>2.089075630252104</v>
      </c>
      <c r="I224" s="73">
        <f t="shared" si="71"/>
        <v>119</v>
      </c>
      <c r="J224" s="10">
        <f>(D224+F224+H224)</f>
        <v>71.89495798319328</v>
      </c>
      <c r="K224" s="17">
        <f>K222</f>
        <v>119</v>
      </c>
      <c r="L224" s="18">
        <f t="shared" si="53"/>
        <v>8555.5</v>
      </c>
      <c r="M224" s="21"/>
      <c r="N224" s="21">
        <f t="shared" si="54"/>
        <v>8555.5</v>
      </c>
    </row>
    <row r="225" spans="1:14" ht="12.75">
      <c r="A225" s="7">
        <v>6</v>
      </c>
      <c r="B225" s="5" t="s">
        <v>68</v>
      </c>
      <c r="C225" s="9">
        <f aca="true" t="shared" si="74" ref="C225:H225">C226+C227</f>
        <v>23043.8</v>
      </c>
      <c r="D225" s="9">
        <f t="shared" si="74"/>
        <v>84.4095238095238</v>
      </c>
      <c r="E225" s="9">
        <f t="shared" si="74"/>
        <v>1185.7</v>
      </c>
      <c r="F225" s="9">
        <f t="shared" si="74"/>
        <v>4.343223443223444</v>
      </c>
      <c r="G225" s="9">
        <f t="shared" si="74"/>
        <v>1018.2000000000004</v>
      </c>
      <c r="H225" s="9">
        <f t="shared" si="74"/>
        <v>3.729670329670331</v>
      </c>
      <c r="I225" s="28">
        <f t="shared" si="71"/>
        <v>273</v>
      </c>
      <c r="J225" s="9">
        <f>J226+J227</f>
        <v>92.48241758241758</v>
      </c>
      <c r="K225" s="74">
        <v>273</v>
      </c>
      <c r="L225" s="9">
        <f t="shared" si="53"/>
        <v>25247.7</v>
      </c>
      <c r="M225" s="19">
        <v>982.9</v>
      </c>
      <c r="N225" s="19">
        <f t="shared" si="54"/>
        <v>26230.600000000002</v>
      </c>
    </row>
    <row r="226" spans="1:14" ht="12.75">
      <c r="A226" s="7"/>
      <c r="B226" s="5" t="s">
        <v>7</v>
      </c>
      <c r="C226" s="5">
        <v>2830.3</v>
      </c>
      <c r="D226" s="10">
        <f>C226/I226</f>
        <v>10.367399267399268</v>
      </c>
      <c r="E226" s="10">
        <v>1185.7</v>
      </c>
      <c r="F226" s="54">
        <f>E226/I226</f>
        <v>4.343223443223444</v>
      </c>
      <c r="G226" s="10">
        <f>5609.6-E226-C226-M226</f>
        <v>610.7000000000004</v>
      </c>
      <c r="H226" s="10">
        <f>G226/I226</f>
        <v>2.2369963369963384</v>
      </c>
      <c r="I226" s="73">
        <f t="shared" si="71"/>
        <v>273</v>
      </c>
      <c r="J226" s="10">
        <f>(D226+F226+H226)</f>
        <v>16.94761904761905</v>
      </c>
      <c r="K226" s="17">
        <f>K225</f>
        <v>273</v>
      </c>
      <c r="L226" s="18">
        <f t="shared" si="53"/>
        <v>4626.700000000001</v>
      </c>
      <c r="M226" s="21">
        <f>M225</f>
        <v>982.9</v>
      </c>
      <c r="N226" s="21">
        <f t="shared" si="54"/>
        <v>5609.6</v>
      </c>
    </row>
    <row r="227" spans="1:14" ht="12.75">
      <c r="A227" s="7"/>
      <c r="B227" s="5" t="s">
        <v>155</v>
      </c>
      <c r="C227" s="5">
        <v>20213.5</v>
      </c>
      <c r="D227" s="10">
        <f>C227/I227</f>
        <v>74.04212454212454</v>
      </c>
      <c r="E227" s="10"/>
      <c r="F227" s="10"/>
      <c r="G227" s="10">
        <f>20621-E227-C227-M227</f>
        <v>407.5</v>
      </c>
      <c r="H227" s="10">
        <f>G227/I227</f>
        <v>1.4926739926739927</v>
      </c>
      <c r="I227" s="73">
        <f t="shared" si="71"/>
        <v>273</v>
      </c>
      <c r="J227" s="10">
        <f>(D227+F227+H227)</f>
        <v>75.53479853479854</v>
      </c>
      <c r="K227" s="17">
        <f>K225</f>
        <v>273</v>
      </c>
      <c r="L227" s="18">
        <f t="shared" si="53"/>
        <v>20621</v>
      </c>
      <c r="M227" s="21"/>
      <c r="N227" s="21">
        <f t="shared" si="54"/>
        <v>20621</v>
      </c>
    </row>
    <row r="228" spans="1:14" ht="12.75">
      <c r="A228" s="7">
        <v>7</v>
      </c>
      <c r="B228" s="5" t="s">
        <v>69</v>
      </c>
      <c r="C228" s="9">
        <f aca="true" t="shared" si="75" ref="C228:H228">C229+C230</f>
        <v>23123.899999999998</v>
      </c>
      <c r="D228" s="9">
        <f t="shared" si="75"/>
        <v>95.55330578512397</v>
      </c>
      <c r="E228" s="9">
        <f t="shared" si="75"/>
        <v>726.3</v>
      </c>
      <c r="F228" s="9">
        <f t="shared" si="75"/>
        <v>3.0012396694214876</v>
      </c>
      <c r="G228" s="9">
        <f t="shared" si="75"/>
        <v>1085.4000000000003</v>
      </c>
      <c r="H228" s="9">
        <f t="shared" si="75"/>
        <v>4.48512396694215</v>
      </c>
      <c r="I228" s="28">
        <f t="shared" si="71"/>
        <v>242</v>
      </c>
      <c r="J228" s="9">
        <f>J229+J230</f>
        <v>103.03966942148759</v>
      </c>
      <c r="K228" s="74">
        <v>242</v>
      </c>
      <c r="L228" s="9">
        <f t="shared" si="53"/>
        <v>24935.599999999995</v>
      </c>
      <c r="M228" s="19">
        <v>493.8</v>
      </c>
      <c r="N228" s="19">
        <f t="shared" si="54"/>
        <v>25429.399999999994</v>
      </c>
    </row>
    <row r="229" spans="1:14" ht="12.75">
      <c r="A229" s="7"/>
      <c r="B229" s="5" t="s">
        <v>7</v>
      </c>
      <c r="C229" s="5">
        <v>2913.1</v>
      </c>
      <c r="D229" s="10">
        <f>C229/I229</f>
        <v>12.037603305785124</v>
      </c>
      <c r="E229" s="10">
        <v>726.3</v>
      </c>
      <c r="F229" s="54">
        <f>E229/I229</f>
        <v>3.0012396694214876</v>
      </c>
      <c r="G229" s="10">
        <f>4874.4-E229-C229-M229</f>
        <v>741.1999999999996</v>
      </c>
      <c r="H229" s="10">
        <f>G229/I229</f>
        <v>3.06280991735537</v>
      </c>
      <c r="I229" s="73">
        <f t="shared" si="71"/>
        <v>242</v>
      </c>
      <c r="J229" s="10">
        <f>(D229+F229+H229)</f>
        <v>18.10165289256198</v>
      </c>
      <c r="K229" s="17">
        <f>K228</f>
        <v>242</v>
      </c>
      <c r="L229" s="18">
        <f t="shared" si="53"/>
        <v>4380.599999999999</v>
      </c>
      <c r="M229" s="21">
        <f>M228</f>
        <v>493.8</v>
      </c>
      <c r="N229" s="21">
        <f t="shared" si="54"/>
        <v>4874.4</v>
      </c>
    </row>
    <row r="230" spans="1:14" ht="12.75">
      <c r="A230" s="7"/>
      <c r="B230" s="5" t="s">
        <v>155</v>
      </c>
      <c r="C230" s="5">
        <v>20210.8</v>
      </c>
      <c r="D230" s="10">
        <f>C230/I230</f>
        <v>83.51570247933884</v>
      </c>
      <c r="E230" s="10"/>
      <c r="F230" s="10"/>
      <c r="G230" s="10">
        <f>20555-E230-C230-M230</f>
        <v>344.2000000000007</v>
      </c>
      <c r="H230" s="10">
        <f>G230/I230</f>
        <v>1.4223140495867799</v>
      </c>
      <c r="I230" s="73">
        <f t="shared" si="71"/>
        <v>242</v>
      </c>
      <c r="J230" s="10">
        <f>(D230+F230+H230)</f>
        <v>84.93801652892562</v>
      </c>
      <c r="K230" s="17">
        <f>K228</f>
        <v>242</v>
      </c>
      <c r="L230" s="18">
        <f t="shared" si="53"/>
        <v>20555</v>
      </c>
      <c r="M230" s="19"/>
      <c r="N230" s="21">
        <f t="shared" si="54"/>
        <v>20555</v>
      </c>
    </row>
    <row r="231" spans="1:14" ht="12.75">
      <c r="A231" s="7">
        <v>8</v>
      </c>
      <c r="B231" s="5" t="s">
        <v>70</v>
      </c>
      <c r="C231" s="9">
        <f aca="true" t="shared" si="76" ref="C231:H231">C232+C233</f>
        <v>11108.6</v>
      </c>
      <c r="D231" s="9">
        <f t="shared" si="76"/>
        <v>89.58548387096774</v>
      </c>
      <c r="E231" s="9">
        <f t="shared" si="76"/>
        <v>556.8</v>
      </c>
      <c r="F231" s="9">
        <f t="shared" si="76"/>
        <v>4.490322580645161</v>
      </c>
      <c r="G231" s="9">
        <f t="shared" si="76"/>
        <v>695.8999999999997</v>
      </c>
      <c r="H231" s="9">
        <f t="shared" si="76"/>
        <v>5.612096774193546</v>
      </c>
      <c r="I231" s="28">
        <f t="shared" si="71"/>
        <v>124</v>
      </c>
      <c r="J231" s="9">
        <f>J232+J233</f>
        <v>99.68790322580645</v>
      </c>
      <c r="K231" s="74">
        <v>124</v>
      </c>
      <c r="L231" s="9">
        <f t="shared" si="53"/>
        <v>12361.3</v>
      </c>
      <c r="M231" s="19">
        <v>334.9</v>
      </c>
      <c r="N231" s="19">
        <f t="shared" si="54"/>
        <v>12696.199999999999</v>
      </c>
    </row>
    <row r="232" spans="1:14" ht="12.75">
      <c r="A232" s="7"/>
      <c r="B232" s="5" t="s">
        <v>7</v>
      </c>
      <c r="C232" s="5">
        <v>1721.1</v>
      </c>
      <c r="D232" s="10">
        <f>C232/I232</f>
        <v>13.879838709677419</v>
      </c>
      <c r="E232" s="10">
        <v>556.8</v>
      </c>
      <c r="F232" s="54">
        <f>E232/I232</f>
        <v>4.490322580645161</v>
      </c>
      <c r="G232" s="10">
        <f>3119.9-E232-C232-M232</f>
        <v>507.1000000000005</v>
      </c>
      <c r="H232" s="10">
        <f>G232/I232</f>
        <v>4.089516129032262</v>
      </c>
      <c r="I232" s="73">
        <f t="shared" si="71"/>
        <v>124</v>
      </c>
      <c r="J232" s="10">
        <f>(D232+F232+H232)</f>
        <v>22.45967741935484</v>
      </c>
      <c r="K232" s="17">
        <f>K231</f>
        <v>124</v>
      </c>
      <c r="L232" s="18">
        <f t="shared" si="53"/>
        <v>2785</v>
      </c>
      <c r="M232" s="21">
        <f>M231</f>
        <v>334.9</v>
      </c>
      <c r="N232" s="21">
        <f t="shared" si="54"/>
        <v>3119.9</v>
      </c>
    </row>
    <row r="233" spans="1:14" ht="12.75">
      <c r="A233" s="7"/>
      <c r="B233" s="5" t="s">
        <v>155</v>
      </c>
      <c r="C233" s="5">
        <v>9387.5</v>
      </c>
      <c r="D233" s="10">
        <f>C233/I233</f>
        <v>75.70564516129032</v>
      </c>
      <c r="E233" s="10"/>
      <c r="F233" s="10"/>
      <c r="G233" s="10">
        <f>9576.3-E233-C233-M233</f>
        <v>188.79999999999927</v>
      </c>
      <c r="H233" s="10">
        <f>G233/I233</f>
        <v>1.5225806451612844</v>
      </c>
      <c r="I233" s="73">
        <f t="shared" si="71"/>
        <v>124</v>
      </c>
      <c r="J233" s="10">
        <f>(D233+F233+H233)</f>
        <v>77.2282258064516</v>
      </c>
      <c r="K233" s="17">
        <f>K231</f>
        <v>124</v>
      </c>
      <c r="L233" s="18">
        <f t="shared" si="53"/>
        <v>9576.3</v>
      </c>
      <c r="M233" s="21"/>
      <c r="N233" s="21">
        <f t="shared" si="54"/>
        <v>9576.3</v>
      </c>
    </row>
    <row r="234" spans="1:14" ht="12.75">
      <c r="A234" s="7">
        <v>9</v>
      </c>
      <c r="B234" s="5" t="s">
        <v>71</v>
      </c>
      <c r="C234" s="9">
        <f aca="true" t="shared" si="77" ref="C234:H234">C235+C236</f>
        <v>8415</v>
      </c>
      <c r="D234" s="9">
        <f t="shared" si="77"/>
        <v>96.72413793103448</v>
      </c>
      <c r="E234" s="9">
        <f t="shared" si="77"/>
        <v>351.1</v>
      </c>
      <c r="F234" s="9">
        <f t="shared" si="77"/>
        <v>4.035632183908047</v>
      </c>
      <c r="G234" s="9">
        <f t="shared" si="77"/>
        <v>640.8000000000004</v>
      </c>
      <c r="H234" s="9">
        <f t="shared" si="77"/>
        <v>7.365517241379315</v>
      </c>
      <c r="I234" s="28">
        <f t="shared" si="71"/>
        <v>87</v>
      </c>
      <c r="J234" s="9">
        <f>J235+J236</f>
        <v>108.12528735632185</v>
      </c>
      <c r="K234" s="74">
        <v>87</v>
      </c>
      <c r="L234" s="9">
        <f t="shared" si="53"/>
        <v>9406.900000000001</v>
      </c>
      <c r="M234" s="19">
        <v>243.5</v>
      </c>
      <c r="N234" s="19">
        <f t="shared" si="54"/>
        <v>9650.400000000001</v>
      </c>
    </row>
    <row r="235" spans="1:14" ht="12.75">
      <c r="A235" s="7"/>
      <c r="B235" s="5" t="s">
        <v>7</v>
      </c>
      <c r="C235" s="5">
        <v>1535.7</v>
      </c>
      <c r="D235" s="10">
        <f>C235/I235</f>
        <v>17.651724137931033</v>
      </c>
      <c r="E235" s="10">
        <v>351.1</v>
      </c>
      <c r="F235" s="54">
        <f>E235/I235</f>
        <v>4.035632183908047</v>
      </c>
      <c r="G235" s="10">
        <f>2636.3-E235-C235-M235</f>
        <v>506.0000000000002</v>
      </c>
      <c r="H235" s="10">
        <f>G235/I235</f>
        <v>5.816091954022991</v>
      </c>
      <c r="I235" s="73">
        <f t="shared" si="71"/>
        <v>87</v>
      </c>
      <c r="J235" s="10">
        <f>(D235+F235+H235)</f>
        <v>27.50344827586207</v>
      </c>
      <c r="K235" s="17">
        <f>K234</f>
        <v>87</v>
      </c>
      <c r="L235" s="18">
        <f t="shared" si="53"/>
        <v>2392.8</v>
      </c>
      <c r="M235" s="21">
        <f>M234</f>
        <v>243.5</v>
      </c>
      <c r="N235" s="21">
        <f t="shared" si="54"/>
        <v>2636.3</v>
      </c>
    </row>
    <row r="236" spans="1:14" ht="12.75">
      <c r="A236" s="7"/>
      <c r="B236" s="5" t="s">
        <v>155</v>
      </c>
      <c r="C236" s="5">
        <v>6879.3</v>
      </c>
      <c r="D236" s="10">
        <f>C236/I236</f>
        <v>79.07241379310345</v>
      </c>
      <c r="E236" s="10"/>
      <c r="F236" s="10"/>
      <c r="G236" s="10">
        <f>7014.1-E236-C236-M236</f>
        <v>134.80000000000018</v>
      </c>
      <c r="H236" s="10">
        <f>G236/I236</f>
        <v>1.549425287356324</v>
      </c>
      <c r="I236" s="73">
        <f t="shared" si="71"/>
        <v>87</v>
      </c>
      <c r="J236" s="10">
        <f>(D236+F236+H236)</f>
        <v>80.62183908045978</v>
      </c>
      <c r="K236" s="17">
        <f>K234</f>
        <v>87</v>
      </c>
      <c r="L236" s="18">
        <f t="shared" si="53"/>
        <v>7014.1</v>
      </c>
      <c r="M236" s="21"/>
      <c r="N236" s="21">
        <f t="shared" si="54"/>
        <v>7014.1</v>
      </c>
    </row>
    <row r="237" spans="1:14" ht="12.75">
      <c r="A237" s="7">
        <v>10</v>
      </c>
      <c r="B237" s="5" t="s">
        <v>72</v>
      </c>
      <c r="C237" s="9">
        <f aca="true" t="shared" si="78" ref="C237:H237">C238+C239</f>
        <v>20123.5</v>
      </c>
      <c r="D237" s="9">
        <f t="shared" si="78"/>
        <v>99.13054187192118</v>
      </c>
      <c r="E237" s="9">
        <f t="shared" si="78"/>
        <v>1005.5</v>
      </c>
      <c r="F237" s="9">
        <f t="shared" si="78"/>
        <v>4.95320197044335</v>
      </c>
      <c r="G237" s="9">
        <f t="shared" si="78"/>
        <v>705.9000000000017</v>
      </c>
      <c r="H237" s="9">
        <f t="shared" si="78"/>
        <v>3.4773399014778406</v>
      </c>
      <c r="I237" s="28">
        <f t="shared" si="71"/>
        <v>203</v>
      </c>
      <c r="J237" s="9">
        <f>J238+J239</f>
        <v>107.56108374384236</v>
      </c>
      <c r="K237" s="74">
        <v>203</v>
      </c>
      <c r="L237" s="9">
        <f aca="true" t="shared" si="79" ref="L237:L300">J237*K237</f>
        <v>21834.899999999998</v>
      </c>
      <c r="M237" s="19">
        <v>641.2</v>
      </c>
      <c r="N237" s="19">
        <f aca="true" t="shared" si="80" ref="N237:N300">L237+M237</f>
        <v>22476.1</v>
      </c>
    </row>
    <row r="238" spans="1:14" ht="12.75">
      <c r="A238" s="7"/>
      <c r="B238" s="5" t="s">
        <v>7</v>
      </c>
      <c r="C238" s="5">
        <v>2816.4</v>
      </c>
      <c r="D238" s="10">
        <f>C238/I238</f>
        <v>13.873891625615764</v>
      </c>
      <c r="E238" s="10">
        <v>1005.5</v>
      </c>
      <c r="F238" s="54">
        <f>E238/I238</f>
        <v>4.95320197044335</v>
      </c>
      <c r="G238" s="10">
        <f>4863.1-E238-C238-M238</f>
        <v>400.0000000000002</v>
      </c>
      <c r="H238" s="10">
        <f>G238/I238</f>
        <v>1.9704433497536957</v>
      </c>
      <c r="I238" s="73">
        <f t="shared" si="71"/>
        <v>203</v>
      </c>
      <c r="J238" s="10">
        <f>(D238+F238+H238)</f>
        <v>20.79753694581281</v>
      </c>
      <c r="K238" s="17">
        <f>K237</f>
        <v>203</v>
      </c>
      <c r="L238" s="18">
        <f t="shared" si="79"/>
        <v>4221.900000000001</v>
      </c>
      <c r="M238" s="21">
        <f>M237</f>
        <v>641.2</v>
      </c>
      <c r="N238" s="21">
        <f t="shared" si="80"/>
        <v>4863.1</v>
      </c>
    </row>
    <row r="239" spans="1:14" ht="12.75">
      <c r="A239" s="7"/>
      <c r="B239" s="5" t="s">
        <v>155</v>
      </c>
      <c r="C239" s="5">
        <v>17307.1</v>
      </c>
      <c r="D239" s="10">
        <f>C239/I239</f>
        <v>85.25665024630541</v>
      </c>
      <c r="E239" s="10"/>
      <c r="F239" s="10"/>
      <c r="G239" s="10">
        <f>17613-E239-C239-M239</f>
        <v>305.90000000000146</v>
      </c>
      <c r="H239" s="10">
        <f>G239/I239</f>
        <v>1.506896551724145</v>
      </c>
      <c r="I239" s="73">
        <f t="shared" si="71"/>
        <v>203</v>
      </c>
      <c r="J239" s="10">
        <f>(D239+F239+H239)</f>
        <v>86.76354679802955</v>
      </c>
      <c r="K239" s="17">
        <f>K237</f>
        <v>203</v>
      </c>
      <c r="L239" s="18">
        <f t="shared" si="79"/>
        <v>17613</v>
      </c>
      <c r="M239" s="21"/>
      <c r="N239" s="21">
        <f t="shared" si="80"/>
        <v>17613</v>
      </c>
    </row>
    <row r="240" spans="1:14" ht="12.75">
      <c r="A240" s="7">
        <v>11</v>
      </c>
      <c r="B240" s="5" t="s">
        <v>73</v>
      </c>
      <c r="C240" s="9">
        <f aca="true" t="shared" si="81" ref="C240:H240">C241+C242</f>
        <v>10154.1</v>
      </c>
      <c r="D240" s="9">
        <f t="shared" si="81"/>
        <v>135.388</v>
      </c>
      <c r="E240" s="9">
        <f t="shared" si="81"/>
        <v>344.2</v>
      </c>
      <c r="F240" s="9">
        <f t="shared" si="81"/>
        <v>4.589333333333333</v>
      </c>
      <c r="G240" s="9">
        <f t="shared" si="81"/>
        <v>570.7000000000018</v>
      </c>
      <c r="H240" s="9">
        <f t="shared" si="81"/>
        <v>7.609333333333357</v>
      </c>
      <c r="I240" s="28">
        <f t="shared" si="71"/>
        <v>75</v>
      </c>
      <c r="J240" s="9">
        <f>J241+J242</f>
        <v>147.5866666666667</v>
      </c>
      <c r="K240" s="74">
        <v>75</v>
      </c>
      <c r="L240" s="9">
        <f t="shared" si="79"/>
        <v>11069.000000000002</v>
      </c>
      <c r="M240" s="19">
        <v>253.4</v>
      </c>
      <c r="N240" s="19">
        <f t="shared" si="80"/>
        <v>11322.400000000001</v>
      </c>
    </row>
    <row r="241" spans="1:14" ht="12.75">
      <c r="A241" s="7"/>
      <c r="B241" s="5" t="s">
        <v>7</v>
      </c>
      <c r="C241" s="5">
        <f>1850.3+69.3</f>
        <v>1919.6</v>
      </c>
      <c r="D241" s="10">
        <f>C241/I241</f>
        <v>25.594666666666665</v>
      </c>
      <c r="E241" s="10">
        <v>344.2</v>
      </c>
      <c r="F241" s="54">
        <f>E241/I241</f>
        <v>4.589333333333333</v>
      </c>
      <c r="G241" s="10">
        <f>2901.3+69.3-E241-C241-M241</f>
        <v>453.40000000000066</v>
      </c>
      <c r="H241" s="10">
        <f>G241/I241</f>
        <v>6.0453333333333426</v>
      </c>
      <c r="I241" s="73">
        <f t="shared" si="71"/>
        <v>75</v>
      </c>
      <c r="J241" s="10">
        <f>(D241+F241+H241)</f>
        <v>36.229333333333344</v>
      </c>
      <c r="K241" s="17">
        <f>K240</f>
        <v>75</v>
      </c>
      <c r="L241" s="18">
        <f t="shared" si="79"/>
        <v>2717.2000000000007</v>
      </c>
      <c r="M241" s="21">
        <f>M240</f>
        <v>253.4</v>
      </c>
      <c r="N241" s="21">
        <f t="shared" si="80"/>
        <v>2970.600000000001</v>
      </c>
    </row>
    <row r="242" spans="1:14" ht="12.75">
      <c r="A242" s="7"/>
      <c r="B242" s="5" t="s">
        <v>155</v>
      </c>
      <c r="C242" s="5">
        <f>8303.8-69.3</f>
        <v>8234.5</v>
      </c>
      <c r="D242" s="10">
        <f>C242/I242</f>
        <v>109.79333333333334</v>
      </c>
      <c r="E242" s="10"/>
      <c r="F242" s="10"/>
      <c r="G242" s="10">
        <f>8421.1-69.3-E242-C242-M242</f>
        <v>117.30000000000109</v>
      </c>
      <c r="H242" s="10">
        <f>G242/I242</f>
        <v>1.5640000000000145</v>
      </c>
      <c r="I242" s="73">
        <f t="shared" si="71"/>
        <v>75</v>
      </c>
      <c r="J242" s="10">
        <f>(D242+F242+H242)</f>
        <v>111.35733333333336</v>
      </c>
      <c r="K242" s="17">
        <f>K240</f>
        <v>75</v>
      </c>
      <c r="L242" s="18">
        <f t="shared" si="79"/>
        <v>8351.800000000001</v>
      </c>
      <c r="M242" s="21"/>
      <c r="N242" s="21">
        <f t="shared" si="80"/>
        <v>8351.800000000001</v>
      </c>
    </row>
    <row r="243" spans="1:14" ht="12.75">
      <c r="A243" s="7">
        <v>12</v>
      </c>
      <c r="B243" s="5" t="s">
        <v>74</v>
      </c>
      <c r="C243" s="9">
        <f aca="true" t="shared" si="82" ref="C243:H243">C244+C245</f>
        <v>10156.9</v>
      </c>
      <c r="D243" s="9">
        <f t="shared" si="82"/>
        <v>92.33545454545452</v>
      </c>
      <c r="E243" s="9">
        <f t="shared" si="82"/>
        <v>488.3</v>
      </c>
      <c r="F243" s="9">
        <f t="shared" si="82"/>
        <v>4.439090909090909</v>
      </c>
      <c r="G243" s="9">
        <f t="shared" si="82"/>
        <v>606.6000000000007</v>
      </c>
      <c r="H243" s="9">
        <f t="shared" si="82"/>
        <v>5.514545454545461</v>
      </c>
      <c r="I243" s="28">
        <f t="shared" si="71"/>
        <v>110</v>
      </c>
      <c r="J243" s="9">
        <f>J244+J245</f>
        <v>102.2890909090909</v>
      </c>
      <c r="K243" s="74">
        <v>110</v>
      </c>
      <c r="L243" s="9">
        <f t="shared" si="79"/>
        <v>11251.8</v>
      </c>
      <c r="M243" s="19">
        <v>232.6</v>
      </c>
      <c r="N243" s="19">
        <f t="shared" si="80"/>
        <v>11484.4</v>
      </c>
    </row>
    <row r="244" spans="1:14" ht="12.75">
      <c r="A244" s="7"/>
      <c r="B244" s="5" t="s">
        <v>7</v>
      </c>
      <c r="C244" s="5">
        <v>1761.1</v>
      </c>
      <c r="D244" s="10">
        <f>C244/I244</f>
        <v>16.009999999999998</v>
      </c>
      <c r="E244" s="10">
        <v>488.3</v>
      </c>
      <c r="F244" s="54">
        <f>E244/I244</f>
        <v>4.439090909090909</v>
      </c>
      <c r="G244" s="10">
        <f>2908.4-E244-C244-M244</f>
        <v>426.4</v>
      </c>
      <c r="H244" s="10">
        <f>G244/I244</f>
        <v>3.876363636363636</v>
      </c>
      <c r="I244" s="73">
        <f t="shared" si="71"/>
        <v>110</v>
      </c>
      <c r="J244" s="10">
        <f>(D244+F244+H244)</f>
        <v>24.32545454545454</v>
      </c>
      <c r="K244" s="17">
        <f>K243</f>
        <v>110</v>
      </c>
      <c r="L244" s="18">
        <f t="shared" si="79"/>
        <v>2675.7999999999993</v>
      </c>
      <c r="M244" s="21">
        <f>M243</f>
        <v>232.6</v>
      </c>
      <c r="N244" s="21">
        <f t="shared" si="80"/>
        <v>2908.399999999999</v>
      </c>
    </row>
    <row r="245" spans="1:14" ht="12.75">
      <c r="A245" s="7"/>
      <c r="B245" s="5" t="s">
        <v>155</v>
      </c>
      <c r="C245" s="5">
        <v>8395.8</v>
      </c>
      <c r="D245" s="10">
        <f>C245/I245</f>
        <v>76.32545454545453</v>
      </c>
      <c r="E245" s="10"/>
      <c r="F245" s="10"/>
      <c r="G245" s="10">
        <f>8576-E245-C245-M245</f>
        <v>180.20000000000073</v>
      </c>
      <c r="H245" s="10">
        <f>G245/I245</f>
        <v>1.6381818181818248</v>
      </c>
      <c r="I245" s="73">
        <f t="shared" si="71"/>
        <v>110</v>
      </c>
      <c r="J245" s="10">
        <f>(D245+F245+H245)</f>
        <v>77.96363636363635</v>
      </c>
      <c r="K245" s="17">
        <f>K243</f>
        <v>110</v>
      </c>
      <c r="L245" s="18">
        <f t="shared" si="79"/>
        <v>8575.999999999998</v>
      </c>
      <c r="M245" s="19"/>
      <c r="N245" s="21">
        <f t="shared" si="80"/>
        <v>8575.999999999998</v>
      </c>
    </row>
    <row r="246" spans="1:14" ht="12.75">
      <c r="A246" s="7">
        <v>13</v>
      </c>
      <c r="B246" s="5" t="s">
        <v>75</v>
      </c>
      <c r="C246" s="9">
        <f aca="true" t="shared" si="83" ref="C246:H246">C247+C248</f>
        <v>27121.7</v>
      </c>
      <c r="D246" s="9">
        <f t="shared" si="83"/>
        <v>78.6136231884058</v>
      </c>
      <c r="E246" s="9">
        <f t="shared" si="83"/>
        <v>1234.5</v>
      </c>
      <c r="F246" s="9">
        <f t="shared" si="83"/>
        <v>3.5782608695652174</v>
      </c>
      <c r="G246" s="9">
        <f t="shared" si="83"/>
        <v>1754.9999999999982</v>
      </c>
      <c r="H246" s="9">
        <f t="shared" si="83"/>
        <v>5.0869565217391255</v>
      </c>
      <c r="I246" s="28">
        <f t="shared" si="71"/>
        <v>345</v>
      </c>
      <c r="J246" s="9">
        <f>J247+J248</f>
        <v>87.27884057971015</v>
      </c>
      <c r="K246" s="74">
        <v>345</v>
      </c>
      <c r="L246" s="9">
        <f t="shared" si="79"/>
        <v>30111.2</v>
      </c>
      <c r="M246" s="19">
        <v>777.5</v>
      </c>
      <c r="N246" s="19">
        <f t="shared" si="80"/>
        <v>30888.7</v>
      </c>
    </row>
    <row r="247" spans="1:14" ht="12.75">
      <c r="A247" s="7"/>
      <c r="B247" s="5" t="s">
        <v>7</v>
      </c>
      <c r="C247" s="5">
        <v>3436.8</v>
      </c>
      <c r="D247" s="10">
        <f>C247/I247</f>
        <v>9.961739130434783</v>
      </c>
      <c r="E247" s="10">
        <v>1234.5</v>
      </c>
      <c r="F247" s="54">
        <f>E247/I247</f>
        <v>3.5782608695652174</v>
      </c>
      <c r="G247" s="10">
        <f>6672.2-E247-C247-M247</f>
        <v>1223.3999999999996</v>
      </c>
      <c r="H247" s="10">
        <f>G247/I247</f>
        <v>3.546086956521738</v>
      </c>
      <c r="I247" s="73">
        <f t="shared" si="71"/>
        <v>345</v>
      </c>
      <c r="J247" s="10">
        <f>(D247+F247+H247)</f>
        <v>17.086086956521736</v>
      </c>
      <c r="K247" s="17">
        <f>K246</f>
        <v>345</v>
      </c>
      <c r="L247" s="18">
        <f t="shared" si="79"/>
        <v>5894.699999999999</v>
      </c>
      <c r="M247" s="21">
        <f>M246</f>
        <v>777.5</v>
      </c>
      <c r="N247" s="21">
        <f t="shared" si="80"/>
        <v>6672.199999999999</v>
      </c>
    </row>
    <row r="248" spans="1:14" ht="12.75">
      <c r="A248" s="7"/>
      <c r="B248" s="5" t="s">
        <v>155</v>
      </c>
      <c r="C248" s="5">
        <v>23684.9</v>
      </c>
      <c r="D248" s="10">
        <f>C248/I248</f>
        <v>68.65188405797102</v>
      </c>
      <c r="E248" s="10"/>
      <c r="F248" s="10"/>
      <c r="G248" s="10">
        <f>24216.5-E248-C248-M248</f>
        <v>531.5999999999985</v>
      </c>
      <c r="H248" s="10">
        <f>G248/I248</f>
        <v>1.5408695652173872</v>
      </c>
      <c r="I248" s="73">
        <f t="shared" si="71"/>
        <v>345</v>
      </c>
      <c r="J248" s="10">
        <f>(D248+F248+H248)</f>
        <v>70.19275362318841</v>
      </c>
      <c r="K248" s="17">
        <f>K246</f>
        <v>345</v>
      </c>
      <c r="L248" s="18">
        <f t="shared" si="79"/>
        <v>24216.5</v>
      </c>
      <c r="M248" s="21"/>
      <c r="N248" s="21">
        <f t="shared" si="80"/>
        <v>24216.5</v>
      </c>
    </row>
    <row r="249" spans="1:14" ht="12.75">
      <c r="A249" s="7">
        <v>14</v>
      </c>
      <c r="B249" s="5" t="s">
        <v>76</v>
      </c>
      <c r="C249" s="9">
        <f aca="true" t="shared" si="84" ref="C249:H249">C250+C251</f>
        <v>11303.1</v>
      </c>
      <c r="D249" s="9">
        <f t="shared" si="84"/>
        <v>106.63301886792453</v>
      </c>
      <c r="E249" s="9">
        <f t="shared" si="84"/>
        <v>461.2</v>
      </c>
      <c r="F249" s="9">
        <f t="shared" si="84"/>
        <v>4.350943396226415</v>
      </c>
      <c r="G249" s="9">
        <f t="shared" si="84"/>
        <v>598.5999999999997</v>
      </c>
      <c r="H249" s="9">
        <f t="shared" si="84"/>
        <v>5.647169811320753</v>
      </c>
      <c r="I249" s="28">
        <f t="shared" si="71"/>
        <v>106</v>
      </c>
      <c r="J249" s="9">
        <f>J250+J251</f>
        <v>116.6311320754717</v>
      </c>
      <c r="K249" s="74">
        <v>106</v>
      </c>
      <c r="L249" s="9">
        <f t="shared" si="79"/>
        <v>12362.9</v>
      </c>
      <c r="M249" s="19">
        <v>273.7</v>
      </c>
      <c r="N249" s="19">
        <f t="shared" si="80"/>
        <v>12636.6</v>
      </c>
    </row>
    <row r="250" spans="1:14" ht="12.75">
      <c r="A250" s="7"/>
      <c r="B250" s="5" t="s">
        <v>7</v>
      </c>
      <c r="C250" s="5">
        <v>1792.1</v>
      </c>
      <c r="D250" s="10">
        <f>C250/I250</f>
        <v>16.906603773584905</v>
      </c>
      <c r="E250" s="10">
        <v>461.2</v>
      </c>
      <c r="F250" s="54">
        <f>E250/I250</f>
        <v>4.350943396226415</v>
      </c>
      <c r="G250" s="10">
        <f>2932.7-E250-C250-M250</f>
        <v>405.7000000000001</v>
      </c>
      <c r="H250" s="10">
        <f>G250/I250</f>
        <v>3.8273584905660387</v>
      </c>
      <c r="I250" s="73">
        <f t="shared" si="71"/>
        <v>106</v>
      </c>
      <c r="J250" s="10">
        <f>(D250+F250+H250)</f>
        <v>25.08490566037736</v>
      </c>
      <c r="K250" s="17">
        <f>K249</f>
        <v>106</v>
      </c>
      <c r="L250" s="18">
        <f t="shared" si="79"/>
        <v>2659</v>
      </c>
      <c r="M250" s="21">
        <f>M249</f>
        <v>273.7</v>
      </c>
      <c r="N250" s="21">
        <f t="shared" si="80"/>
        <v>2932.7</v>
      </c>
    </row>
    <row r="251" spans="1:14" ht="12.75">
      <c r="A251" s="7"/>
      <c r="B251" s="5" t="s">
        <v>155</v>
      </c>
      <c r="C251" s="5">
        <v>9511</v>
      </c>
      <c r="D251" s="10">
        <f>C251/I251</f>
        <v>89.72641509433963</v>
      </c>
      <c r="E251" s="10"/>
      <c r="F251" s="10"/>
      <c r="G251" s="10">
        <f>9703.9-E251-C251-M251</f>
        <v>192.89999999999964</v>
      </c>
      <c r="H251" s="10">
        <f>G251/I251</f>
        <v>1.8198113207547135</v>
      </c>
      <c r="I251" s="73">
        <f t="shared" si="71"/>
        <v>106</v>
      </c>
      <c r="J251" s="10">
        <f>(D251+F251+H251)</f>
        <v>91.54622641509434</v>
      </c>
      <c r="K251" s="17">
        <f>K249</f>
        <v>106</v>
      </c>
      <c r="L251" s="18">
        <f t="shared" si="79"/>
        <v>9703.9</v>
      </c>
      <c r="M251" s="21"/>
      <c r="N251" s="21">
        <f t="shared" si="80"/>
        <v>9703.9</v>
      </c>
    </row>
    <row r="252" spans="1:14" ht="12.75">
      <c r="A252" s="7">
        <v>15</v>
      </c>
      <c r="B252" s="5" t="s">
        <v>77</v>
      </c>
      <c r="C252" s="9">
        <f aca="true" t="shared" si="85" ref="C252:H252">C253+C254</f>
        <v>22565.5</v>
      </c>
      <c r="D252" s="9">
        <f t="shared" si="85"/>
        <v>100.2911111111111</v>
      </c>
      <c r="E252" s="9">
        <f t="shared" si="85"/>
        <v>946.5</v>
      </c>
      <c r="F252" s="9">
        <f t="shared" si="85"/>
        <v>4.206666666666667</v>
      </c>
      <c r="G252" s="9">
        <f t="shared" si="85"/>
        <v>919.7000000000002</v>
      </c>
      <c r="H252" s="9">
        <f t="shared" si="85"/>
        <v>4.087555555555556</v>
      </c>
      <c r="I252" s="28">
        <f t="shared" si="71"/>
        <v>225</v>
      </c>
      <c r="J252" s="9">
        <f>J253+J254</f>
        <v>108.58533333333332</v>
      </c>
      <c r="K252" s="74">
        <v>225</v>
      </c>
      <c r="L252" s="9">
        <f t="shared" si="79"/>
        <v>24431.699999999997</v>
      </c>
      <c r="M252" s="19">
        <v>651.6</v>
      </c>
      <c r="N252" s="19">
        <f t="shared" si="80"/>
        <v>25083.299999999996</v>
      </c>
    </row>
    <row r="253" spans="1:14" ht="12.75">
      <c r="A253" s="7"/>
      <c r="B253" s="5" t="s">
        <v>7</v>
      </c>
      <c r="C253" s="5">
        <v>2661.7</v>
      </c>
      <c r="D253" s="10">
        <f>C253/I253</f>
        <v>11.829777777777776</v>
      </c>
      <c r="E253" s="10">
        <v>946.5</v>
      </c>
      <c r="F253" s="54">
        <f>E253/I253</f>
        <v>4.206666666666667</v>
      </c>
      <c r="G253" s="10">
        <f>4836.5-E253-C253-M253</f>
        <v>576.7000000000002</v>
      </c>
      <c r="H253" s="10">
        <f>G253/I253</f>
        <v>2.563111111111112</v>
      </c>
      <c r="I253" s="73">
        <f t="shared" si="71"/>
        <v>225</v>
      </c>
      <c r="J253" s="10">
        <f>(D253+F253+H253)</f>
        <v>18.599555555555554</v>
      </c>
      <c r="K253" s="17">
        <f>K252</f>
        <v>225</v>
      </c>
      <c r="L253" s="18">
        <f t="shared" si="79"/>
        <v>4184.9</v>
      </c>
      <c r="M253" s="21">
        <f>M252</f>
        <v>651.6</v>
      </c>
      <c r="N253" s="21">
        <f t="shared" si="80"/>
        <v>4836.5</v>
      </c>
    </row>
    <row r="254" spans="1:14" ht="12.75">
      <c r="A254" s="7"/>
      <c r="B254" s="5" t="s">
        <v>155</v>
      </c>
      <c r="C254" s="5">
        <v>19903.8</v>
      </c>
      <c r="D254" s="10">
        <f>C254/I254</f>
        <v>88.46133333333333</v>
      </c>
      <c r="E254" s="10"/>
      <c r="F254" s="10"/>
      <c r="G254" s="10">
        <f>20246.8-E254-C254-M254</f>
        <v>343</v>
      </c>
      <c r="H254" s="10">
        <f>G254/I254</f>
        <v>1.5244444444444445</v>
      </c>
      <c r="I254" s="73">
        <f t="shared" si="71"/>
        <v>225</v>
      </c>
      <c r="J254" s="10">
        <f>(D254+F254+H254)</f>
        <v>89.98577777777777</v>
      </c>
      <c r="K254" s="17">
        <f>K252</f>
        <v>225</v>
      </c>
      <c r="L254" s="18">
        <f t="shared" si="79"/>
        <v>20246.8</v>
      </c>
      <c r="M254" s="21"/>
      <c r="N254" s="21">
        <f t="shared" si="80"/>
        <v>20246.8</v>
      </c>
    </row>
    <row r="255" spans="1:14" ht="12.75">
      <c r="A255" s="7">
        <v>16</v>
      </c>
      <c r="B255" s="5" t="s">
        <v>78</v>
      </c>
      <c r="C255" s="9">
        <f aca="true" t="shared" si="86" ref="C255:H255">C256+C257</f>
        <v>25634.9</v>
      </c>
      <c r="D255" s="9">
        <f t="shared" si="86"/>
        <v>116.52227272727274</v>
      </c>
      <c r="E255" s="9">
        <f t="shared" si="86"/>
        <v>852.1</v>
      </c>
      <c r="F255" s="9">
        <f t="shared" si="86"/>
        <v>3.8731818181818185</v>
      </c>
      <c r="G255" s="9">
        <f t="shared" si="86"/>
        <v>1050.0999999999992</v>
      </c>
      <c r="H255" s="9">
        <f t="shared" si="86"/>
        <v>4.773181818181815</v>
      </c>
      <c r="I255" s="28">
        <f t="shared" si="71"/>
        <v>220</v>
      </c>
      <c r="J255" s="9">
        <f>J256+J257</f>
        <v>125.16863636363638</v>
      </c>
      <c r="K255" s="74">
        <v>220</v>
      </c>
      <c r="L255" s="9">
        <f t="shared" si="79"/>
        <v>27537.100000000002</v>
      </c>
      <c r="M255" s="19">
        <v>635.2</v>
      </c>
      <c r="N255" s="19">
        <f t="shared" si="80"/>
        <v>28172.300000000003</v>
      </c>
    </row>
    <row r="256" spans="1:14" ht="12.75">
      <c r="A256" s="7"/>
      <c r="B256" s="5" t="s">
        <v>7</v>
      </c>
      <c r="C256" s="5">
        <v>3014.5</v>
      </c>
      <c r="D256" s="10">
        <f>C256/I256</f>
        <v>13.702272727272728</v>
      </c>
      <c r="E256" s="10">
        <v>852.1</v>
      </c>
      <c r="F256" s="54">
        <f>E256/I256</f>
        <v>3.8731818181818185</v>
      </c>
      <c r="G256" s="10">
        <f>5208.1-E256-C256-M256</f>
        <v>706.3</v>
      </c>
      <c r="H256" s="10">
        <f>G256/I256</f>
        <v>3.2104545454545454</v>
      </c>
      <c r="I256" s="73">
        <f t="shared" si="71"/>
        <v>220</v>
      </c>
      <c r="J256" s="10">
        <f>(D256+F256+H256)</f>
        <v>20.785909090909094</v>
      </c>
      <c r="K256" s="17">
        <f>K255</f>
        <v>220</v>
      </c>
      <c r="L256" s="18">
        <f t="shared" si="79"/>
        <v>4572.900000000001</v>
      </c>
      <c r="M256" s="21">
        <f>M255</f>
        <v>635.2</v>
      </c>
      <c r="N256" s="21">
        <f t="shared" si="80"/>
        <v>5208.1</v>
      </c>
    </row>
    <row r="257" spans="1:14" ht="12.75">
      <c r="A257" s="7"/>
      <c r="B257" s="5" t="s">
        <v>155</v>
      </c>
      <c r="C257" s="5">
        <v>22620.4</v>
      </c>
      <c r="D257" s="10">
        <f>C257/I257</f>
        <v>102.82000000000001</v>
      </c>
      <c r="E257" s="10"/>
      <c r="F257" s="10"/>
      <c r="G257" s="10">
        <f>22964.2-E257-C257-M257</f>
        <v>343.7999999999993</v>
      </c>
      <c r="H257" s="10">
        <f>G257/I257</f>
        <v>1.5627272727272694</v>
      </c>
      <c r="I257" s="73">
        <f t="shared" si="71"/>
        <v>220</v>
      </c>
      <c r="J257" s="10">
        <f>(D257+F257+H257)</f>
        <v>104.38272727272728</v>
      </c>
      <c r="K257" s="17">
        <f>K255</f>
        <v>220</v>
      </c>
      <c r="L257" s="18">
        <f t="shared" si="79"/>
        <v>22964.2</v>
      </c>
      <c r="M257" s="21"/>
      <c r="N257" s="21">
        <f t="shared" si="80"/>
        <v>22964.2</v>
      </c>
    </row>
    <row r="258" spans="1:14" ht="12.75">
      <c r="A258" s="7">
        <v>17</v>
      </c>
      <c r="B258" s="5" t="s">
        <v>79</v>
      </c>
      <c r="C258" s="9">
        <f aca="true" t="shared" si="87" ref="C258:H258">C259+C260</f>
        <v>7513.400000000001</v>
      </c>
      <c r="D258" s="9">
        <f t="shared" si="87"/>
        <v>242.36774193548388</v>
      </c>
      <c r="E258" s="9">
        <f t="shared" si="87"/>
        <v>143.1</v>
      </c>
      <c r="F258" s="9">
        <f t="shared" si="87"/>
        <v>4.616129032258065</v>
      </c>
      <c r="G258" s="9">
        <f t="shared" si="87"/>
        <v>481.29999999999984</v>
      </c>
      <c r="H258" s="9">
        <f t="shared" si="87"/>
        <v>15.5258064516129</v>
      </c>
      <c r="I258" s="28">
        <f t="shared" si="71"/>
        <v>31</v>
      </c>
      <c r="J258" s="9">
        <f>J259+J260</f>
        <v>262.50967741935483</v>
      </c>
      <c r="K258" s="74">
        <v>31</v>
      </c>
      <c r="L258" s="9">
        <f t="shared" si="79"/>
        <v>8137.799999999999</v>
      </c>
      <c r="M258" s="19">
        <v>145.4</v>
      </c>
      <c r="N258" s="19">
        <f t="shared" si="80"/>
        <v>8283.199999999999</v>
      </c>
    </row>
    <row r="259" spans="1:14" ht="12.75">
      <c r="A259" s="7"/>
      <c r="B259" s="5" t="s">
        <v>7</v>
      </c>
      <c r="C259" s="5">
        <f>1139.2+36.6</f>
        <v>1175.8</v>
      </c>
      <c r="D259" s="10">
        <f>C259/I259</f>
        <v>37.92903225806452</v>
      </c>
      <c r="E259" s="10">
        <v>143.1</v>
      </c>
      <c r="F259" s="54">
        <f>E259/I259</f>
        <v>4.616129032258065</v>
      </c>
      <c r="G259" s="10">
        <f>1858.8+36.6-E259-C259-M259</f>
        <v>431.1</v>
      </c>
      <c r="H259" s="10">
        <f>G259/I259</f>
        <v>13.906451612903227</v>
      </c>
      <c r="I259" s="73">
        <f t="shared" si="71"/>
        <v>31</v>
      </c>
      <c r="J259" s="10">
        <f>(D259+F259+H259)</f>
        <v>56.45161290322581</v>
      </c>
      <c r="K259" s="17">
        <f>K258</f>
        <v>31</v>
      </c>
      <c r="L259" s="18">
        <f t="shared" si="79"/>
        <v>1750</v>
      </c>
      <c r="M259" s="21">
        <f>M258</f>
        <v>145.4</v>
      </c>
      <c r="N259" s="21">
        <f t="shared" si="80"/>
        <v>1895.4</v>
      </c>
    </row>
    <row r="260" spans="1:14" ht="12.75">
      <c r="A260" s="7"/>
      <c r="B260" s="5" t="s">
        <v>155</v>
      </c>
      <c r="C260" s="5">
        <f>6319.3+18.3</f>
        <v>6337.6</v>
      </c>
      <c r="D260" s="10">
        <f>C260/I260</f>
        <v>204.43870967741935</v>
      </c>
      <c r="E260" s="10"/>
      <c r="F260" s="10"/>
      <c r="G260" s="10">
        <f>6369.5+18.3-E260-C260-M260</f>
        <v>50.19999999999982</v>
      </c>
      <c r="H260" s="10">
        <f>G260/I260</f>
        <v>1.6193548387096715</v>
      </c>
      <c r="I260" s="73">
        <f t="shared" si="71"/>
        <v>31</v>
      </c>
      <c r="J260" s="10">
        <f>(D260+F260+H260)</f>
        <v>206.05806451612904</v>
      </c>
      <c r="K260" s="17">
        <f>K258</f>
        <v>31</v>
      </c>
      <c r="L260" s="18">
        <f t="shared" si="79"/>
        <v>6387.8</v>
      </c>
      <c r="M260" s="19"/>
      <c r="N260" s="21">
        <f t="shared" si="80"/>
        <v>6387.8</v>
      </c>
    </row>
    <row r="261" spans="1:14" ht="12.75">
      <c r="A261" s="7">
        <v>18</v>
      </c>
      <c r="B261" s="5" t="s">
        <v>80</v>
      </c>
      <c r="C261" s="9">
        <f aca="true" t="shared" si="88" ref="C261:H261">C262+C263</f>
        <v>10638.1</v>
      </c>
      <c r="D261" s="9">
        <f t="shared" si="88"/>
        <v>132.97625</v>
      </c>
      <c r="E261" s="9">
        <f t="shared" si="88"/>
        <v>330.2</v>
      </c>
      <c r="F261" s="9">
        <f t="shared" si="88"/>
        <v>4.1274999999999995</v>
      </c>
      <c r="G261" s="9">
        <f t="shared" si="88"/>
        <v>485.7000000000006</v>
      </c>
      <c r="H261" s="9">
        <f t="shared" si="88"/>
        <v>6.071250000000008</v>
      </c>
      <c r="I261" s="28">
        <f t="shared" si="71"/>
        <v>80</v>
      </c>
      <c r="J261" s="9">
        <f>J262+J263</f>
        <v>143.175</v>
      </c>
      <c r="K261" s="74">
        <v>80</v>
      </c>
      <c r="L261" s="9">
        <f t="shared" si="79"/>
        <v>11454</v>
      </c>
      <c r="M261" s="19">
        <v>201.9</v>
      </c>
      <c r="N261" s="19">
        <f t="shared" si="80"/>
        <v>11655.9</v>
      </c>
    </row>
    <row r="262" spans="1:14" ht="12.75">
      <c r="A262" s="7"/>
      <c r="B262" s="5" t="s">
        <v>7</v>
      </c>
      <c r="C262" s="5">
        <v>1562.2</v>
      </c>
      <c r="D262" s="10">
        <f>C262/I262</f>
        <v>19.5275</v>
      </c>
      <c r="E262" s="10">
        <v>330.2</v>
      </c>
      <c r="F262" s="54">
        <f>E262/I262</f>
        <v>4.1274999999999995</v>
      </c>
      <c r="G262" s="10">
        <f>2473.4-E262-C262-M262</f>
        <v>379.10000000000025</v>
      </c>
      <c r="H262" s="10">
        <f>G262/I262</f>
        <v>4.738750000000003</v>
      </c>
      <c r="I262" s="73">
        <f t="shared" si="71"/>
        <v>80</v>
      </c>
      <c r="J262" s="10">
        <f>(D262+F262+H262)</f>
        <v>28.393750000000004</v>
      </c>
      <c r="K262" s="17">
        <f>K261</f>
        <v>80</v>
      </c>
      <c r="L262" s="18">
        <f t="shared" si="79"/>
        <v>2271.5000000000005</v>
      </c>
      <c r="M262" s="21">
        <f>M261</f>
        <v>201.9</v>
      </c>
      <c r="N262" s="21">
        <f t="shared" si="80"/>
        <v>2473.4000000000005</v>
      </c>
    </row>
    <row r="263" spans="1:14" ht="12.75">
      <c r="A263" s="7"/>
      <c r="B263" s="5" t="s">
        <v>155</v>
      </c>
      <c r="C263" s="5">
        <v>9075.9</v>
      </c>
      <c r="D263" s="10">
        <f>C263/I263</f>
        <v>113.44874999999999</v>
      </c>
      <c r="E263" s="10"/>
      <c r="F263" s="10"/>
      <c r="G263" s="10">
        <f>9182.5-E263-C263-M263</f>
        <v>106.60000000000036</v>
      </c>
      <c r="H263" s="10">
        <f>G263/I263</f>
        <v>1.3325000000000045</v>
      </c>
      <c r="I263" s="73">
        <f t="shared" si="71"/>
        <v>80</v>
      </c>
      <c r="J263" s="10">
        <f>(D263+F263+H263)</f>
        <v>114.78125</v>
      </c>
      <c r="K263" s="17">
        <f>K261</f>
        <v>80</v>
      </c>
      <c r="L263" s="18">
        <f t="shared" si="79"/>
        <v>9182.5</v>
      </c>
      <c r="M263" s="21"/>
      <c r="N263" s="21">
        <f t="shared" si="80"/>
        <v>9182.5</v>
      </c>
    </row>
    <row r="264" spans="1:14" ht="12.75">
      <c r="A264" s="7">
        <v>19</v>
      </c>
      <c r="B264" s="5" t="s">
        <v>81</v>
      </c>
      <c r="C264" s="9">
        <f aca="true" t="shared" si="89" ref="C264:H264">C265+C266</f>
        <v>14222.5</v>
      </c>
      <c r="D264" s="9">
        <f t="shared" si="89"/>
        <v>106.13805970149255</v>
      </c>
      <c r="E264" s="9">
        <f t="shared" si="89"/>
        <v>380.8</v>
      </c>
      <c r="F264" s="9">
        <f t="shared" si="89"/>
        <v>2.8417910447761194</v>
      </c>
      <c r="G264" s="9">
        <f t="shared" si="89"/>
        <v>857.3999999999996</v>
      </c>
      <c r="H264" s="9">
        <f t="shared" si="89"/>
        <v>6.398507462686564</v>
      </c>
      <c r="I264" s="28">
        <f t="shared" si="71"/>
        <v>134</v>
      </c>
      <c r="J264" s="9">
        <f>J265+J266</f>
        <v>115.37835820895522</v>
      </c>
      <c r="K264" s="74">
        <v>134</v>
      </c>
      <c r="L264" s="9">
        <f t="shared" si="79"/>
        <v>15460.699999999999</v>
      </c>
      <c r="M264" s="19">
        <v>268</v>
      </c>
      <c r="N264" s="19">
        <f t="shared" si="80"/>
        <v>15728.699999999999</v>
      </c>
    </row>
    <row r="265" spans="1:14" ht="12.75">
      <c r="A265" s="7"/>
      <c r="B265" s="5" t="s">
        <v>7</v>
      </c>
      <c r="C265" s="5">
        <v>2172.4</v>
      </c>
      <c r="D265" s="10">
        <f>C265/I265</f>
        <v>16.211940298507464</v>
      </c>
      <c r="E265" s="10">
        <v>380.8</v>
      </c>
      <c r="F265" s="54">
        <f>E265/I265</f>
        <v>2.8417910447761194</v>
      </c>
      <c r="G265" s="10">
        <f>3410.1-E265-C265-M265</f>
        <v>588.8999999999996</v>
      </c>
      <c r="H265" s="10">
        <f>G265/I265</f>
        <v>4.394776119402982</v>
      </c>
      <c r="I265" s="73">
        <f t="shared" si="71"/>
        <v>134</v>
      </c>
      <c r="J265" s="10">
        <f>(D265+F265+H265)</f>
        <v>23.448507462686564</v>
      </c>
      <c r="K265" s="17">
        <f>K264</f>
        <v>134</v>
      </c>
      <c r="L265" s="18">
        <f t="shared" si="79"/>
        <v>3142.0999999999995</v>
      </c>
      <c r="M265" s="21">
        <f>M264</f>
        <v>268</v>
      </c>
      <c r="N265" s="21">
        <f t="shared" si="80"/>
        <v>3410.0999999999995</v>
      </c>
    </row>
    <row r="266" spans="1:14" ht="12.75">
      <c r="A266" s="7"/>
      <c r="B266" s="5" t="s">
        <v>155</v>
      </c>
      <c r="C266" s="5">
        <v>12050.1</v>
      </c>
      <c r="D266" s="10">
        <f>C266/I266</f>
        <v>89.92611940298508</v>
      </c>
      <c r="E266" s="10"/>
      <c r="F266" s="10"/>
      <c r="G266" s="10">
        <f>12318.6-E266-C266-M266</f>
        <v>268.5</v>
      </c>
      <c r="H266" s="10">
        <f>G266/I266</f>
        <v>2.003731343283582</v>
      </c>
      <c r="I266" s="73">
        <f t="shared" si="71"/>
        <v>134</v>
      </c>
      <c r="J266" s="10">
        <f>(D266+F266+H266)</f>
        <v>91.92985074626866</v>
      </c>
      <c r="K266" s="17">
        <f>K264</f>
        <v>134</v>
      </c>
      <c r="L266" s="18">
        <f t="shared" si="79"/>
        <v>12318.6</v>
      </c>
      <c r="M266" s="21"/>
      <c r="N266" s="21">
        <f t="shared" si="80"/>
        <v>12318.6</v>
      </c>
    </row>
    <row r="267" spans="1:14" ht="12.75">
      <c r="A267" s="7">
        <v>20</v>
      </c>
      <c r="B267" s="5" t="s">
        <v>82</v>
      </c>
      <c r="C267" s="9">
        <f aca="true" t="shared" si="90" ref="C267:H267">C268+C269</f>
        <v>10164.1</v>
      </c>
      <c r="D267" s="9">
        <f t="shared" si="90"/>
        <v>86.13644067796609</v>
      </c>
      <c r="E267" s="9">
        <f t="shared" si="90"/>
        <v>482.4</v>
      </c>
      <c r="F267" s="9">
        <f t="shared" si="90"/>
        <v>4.088135593220339</v>
      </c>
      <c r="G267" s="9">
        <f t="shared" si="90"/>
        <v>517.9000000000007</v>
      </c>
      <c r="H267" s="9">
        <f t="shared" si="90"/>
        <v>4.388983050847463</v>
      </c>
      <c r="I267" s="28">
        <f t="shared" si="71"/>
        <v>118</v>
      </c>
      <c r="J267" s="9">
        <f>J268+J269</f>
        <v>94.6135593220339</v>
      </c>
      <c r="K267" s="74">
        <v>118</v>
      </c>
      <c r="L267" s="9">
        <f t="shared" si="79"/>
        <v>11164.4</v>
      </c>
      <c r="M267" s="19">
        <v>236.1</v>
      </c>
      <c r="N267" s="19">
        <f t="shared" si="80"/>
        <v>11400.5</v>
      </c>
    </row>
    <row r="268" spans="1:14" ht="12.75">
      <c r="A268" s="7"/>
      <c r="B268" s="5" t="s">
        <v>7</v>
      </c>
      <c r="C268" s="5">
        <f>1817.3+55.4</f>
        <v>1872.7</v>
      </c>
      <c r="D268" s="10">
        <f>C268/I268</f>
        <v>15.870338983050848</v>
      </c>
      <c r="E268" s="10">
        <v>482.4</v>
      </c>
      <c r="F268" s="54">
        <f>E268/I268</f>
        <v>4.088135593220339</v>
      </c>
      <c r="G268" s="10">
        <f>2859.5+55.4-E268-C268-M268</f>
        <v>323.69999999999993</v>
      </c>
      <c r="H268" s="10">
        <f>G268/I268</f>
        <v>2.74322033898305</v>
      </c>
      <c r="I268" s="73">
        <f t="shared" si="71"/>
        <v>118</v>
      </c>
      <c r="J268" s="10">
        <f>(D268+F268+H268)</f>
        <v>22.701694915254237</v>
      </c>
      <c r="K268" s="17">
        <f>K267</f>
        <v>118</v>
      </c>
      <c r="L268" s="18">
        <f t="shared" si="79"/>
        <v>2678.7999999999997</v>
      </c>
      <c r="M268" s="21">
        <f>M267</f>
        <v>236.1</v>
      </c>
      <c r="N268" s="21">
        <f t="shared" si="80"/>
        <v>2914.8999999999996</v>
      </c>
    </row>
    <row r="269" spans="1:14" ht="12.75">
      <c r="A269" s="7"/>
      <c r="B269" s="5" t="s">
        <v>155</v>
      </c>
      <c r="C269" s="5">
        <v>8291.4</v>
      </c>
      <c r="D269" s="10">
        <f>C269/I269</f>
        <v>70.26610169491525</v>
      </c>
      <c r="E269" s="10"/>
      <c r="F269" s="10"/>
      <c r="G269" s="10">
        <f>8485.6-E269-C269-M269</f>
        <v>194.20000000000073</v>
      </c>
      <c r="H269" s="10">
        <f>G269/I269</f>
        <v>1.645762711864413</v>
      </c>
      <c r="I269" s="73">
        <f t="shared" si="71"/>
        <v>118</v>
      </c>
      <c r="J269" s="10">
        <f>(D269+F269+H269)</f>
        <v>71.91186440677966</v>
      </c>
      <c r="K269" s="17">
        <f>K267</f>
        <v>118</v>
      </c>
      <c r="L269" s="18">
        <f t="shared" si="79"/>
        <v>8485.6</v>
      </c>
      <c r="M269" s="21"/>
      <c r="N269" s="21">
        <f t="shared" si="80"/>
        <v>8485.6</v>
      </c>
    </row>
    <row r="270" spans="1:14" ht="12.75">
      <c r="A270" s="7">
        <v>21</v>
      </c>
      <c r="B270" s="5" t="s">
        <v>83</v>
      </c>
      <c r="C270" s="9">
        <f aca="true" t="shared" si="91" ref="C270:H270">C271+C272</f>
        <v>9151.4</v>
      </c>
      <c r="D270" s="9">
        <f t="shared" si="91"/>
        <v>127.10277777777777</v>
      </c>
      <c r="E270" s="9">
        <f t="shared" si="91"/>
        <v>174.7</v>
      </c>
      <c r="F270" s="9">
        <f t="shared" si="91"/>
        <v>2.426388888888889</v>
      </c>
      <c r="G270" s="9">
        <f t="shared" si="91"/>
        <v>829.3000000000011</v>
      </c>
      <c r="H270" s="9">
        <f t="shared" si="91"/>
        <v>11.518055555555572</v>
      </c>
      <c r="I270" s="28">
        <f t="shared" si="71"/>
        <v>72</v>
      </c>
      <c r="J270" s="9">
        <f>J271+J272</f>
        <v>141.04722222222222</v>
      </c>
      <c r="K270" s="74">
        <v>72</v>
      </c>
      <c r="L270" s="9">
        <f t="shared" si="79"/>
        <v>10155.4</v>
      </c>
      <c r="M270" s="19">
        <v>408.5</v>
      </c>
      <c r="N270" s="19">
        <f t="shared" si="80"/>
        <v>10563.9</v>
      </c>
    </row>
    <row r="271" spans="1:14" ht="12.75">
      <c r="A271" s="7"/>
      <c r="B271" s="5" t="s">
        <v>7</v>
      </c>
      <c r="C271" s="5">
        <v>1849</v>
      </c>
      <c r="D271" s="10">
        <f>C271/I271</f>
        <v>25.680555555555557</v>
      </c>
      <c r="E271" s="10">
        <v>174.7</v>
      </c>
      <c r="F271" s="54">
        <f>E271/I271</f>
        <v>2.426388888888889</v>
      </c>
      <c r="G271" s="10">
        <f>3145.8-E271-C271-M271</f>
        <v>713.6000000000004</v>
      </c>
      <c r="H271" s="10">
        <f>G271/I271</f>
        <v>9.911111111111117</v>
      </c>
      <c r="I271" s="73">
        <f t="shared" si="71"/>
        <v>72</v>
      </c>
      <c r="J271" s="10">
        <f>(D271+F271+H271)</f>
        <v>38.01805555555556</v>
      </c>
      <c r="K271" s="17">
        <f>K270</f>
        <v>72</v>
      </c>
      <c r="L271" s="18">
        <f t="shared" si="79"/>
        <v>2737.3000000000006</v>
      </c>
      <c r="M271" s="21">
        <f>M270</f>
        <v>408.5</v>
      </c>
      <c r="N271" s="21">
        <f t="shared" si="80"/>
        <v>3145.8000000000006</v>
      </c>
    </row>
    <row r="272" spans="1:14" ht="12.75">
      <c r="A272" s="7"/>
      <c r="B272" s="5" t="s">
        <v>155</v>
      </c>
      <c r="C272" s="5">
        <v>7302.4</v>
      </c>
      <c r="D272" s="10">
        <f>C272/I272</f>
        <v>101.42222222222222</v>
      </c>
      <c r="E272" s="10"/>
      <c r="F272" s="10"/>
      <c r="G272" s="10">
        <f>7418.1-E272-C272-M272</f>
        <v>115.70000000000073</v>
      </c>
      <c r="H272" s="10">
        <f>G272/I272</f>
        <v>1.6069444444444545</v>
      </c>
      <c r="I272" s="73">
        <f t="shared" si="71"/>
        <v>72</v>
      </c>
      <c r="J272" s="10">
        <f>(D272+F272+H272)</f>
        <v>103.02916666666667</v>
      </c>
      <c r="K272" s="17">
        <f>K270</f>
        <v>72</v>
      </c>
      <c r="L272" s="18">
        <f t="shared" si="79"/>
        <v>7418.1</v>
      </c>
      <c r="M272" s="21"/>
      <c r="N272" s="21">
        <f t="shared" si="80"/>
        <v>7418.1</v>
      </c>
    </row>
    <row r="273" spans="1:14" ht="12.75">
      <c r="A273" s="7">
        <v>22</v>
      </c>
      <c r="B273" s="5" t="s">
        <v>84</v>
      </c>
      <c r="C273" s="9">
        <f aca="true" t="shared" si="92" ref="C273:H273">C274+C275</f>
        <v>21697.2</v>
      </c>
      <c r="D273" s="9">
        <f t="shared" si="92"/>
        <v>72.80939597315437</v>
      </c>
      <c r="E273" s="9">
        <f t="shared" si="92"/>
        <v>778.2</v>
      </c>
      <c r="F273" s="9">
        <f t="shared" si="92"/>
        <v>2.6114093959731544</v>
      </c>
      <c r="G273" s="9">
        <f t="shared" si="92"/>
        <v>1097.799999999999</v>
      </c>
      <c r="H273" s="9">
        <f t="shared" si="92"/>
        <v>3.6838926174496613</v>
      </c>
      <c r="I273" s="28">
        <f t="shared" si="71"/>
        <v>298</v>
      </c>
      <c r="J273" s="9">
        <f>J274+J275</f>
        <v>79.10469798657718</v>
      </c>
      <c r="K273" s="74">
        <v>298</v>
      </c>
      <c r="L273" s="9">
        <f t="shared" si="79"/>
        <v>23573.2</v>
      </c>
      <c r="M273" s="19">
        <v>458.7</v>
      </c>
      <c r="N273" s="19">
        <f t="shared" si="80"/>
        <v>24031.9</v>
      </c>
    </row>
    <row r="274" spans="1:14" ht="12.75">
      <c r="A274" s="7"/>
      <c r="B274" s="5" t="s">
        <v>7</v>
      </c>
      <c r="C274" s="5">
        <v>2988.8</v>
      </c>
      <c r="D274" s="10">
        <f>C274/I274</f>
        <v>10.029530201342283</v>
      </c>
      <c r="E274" s="10">
        <v>778.2</v>
      </c>
      <c r="F274" s="54">
        <f>E274/I274</f>
        <v>2.6114093959731544</v>
      </c>
      <c r="G274" s="10">
        <f>4872.2-E274-C274-M274</f>
        <v>646.4999999999998</v>
      </c>
      <c r="H274" s="10">
        <f>G274/I274</f>
        <v>2.1694630872483214</v>
      </c>
      <c r="I274" s="73">
        <f t="shared" si="71"/>
        <v>298</v>
      </c>
      <c r="J274" s="10">
        <f>(D274+F274+H274)</f>
        <v>14.810402684563758</v>
      </c>
      <c r="K274" s="17">
        <f>K273</f>
        <v>298</v>
      </c>
      <c r="L274" s="18">
        <f t="shared" si="79"/>
        <v>4413.5</v>
      </c>
      <c r="M274" s="21">
        <f>M273</f>
        <v>458.7</v>
      </c>
      <c r="N274" s="21">
        <f t="shared" si="80"/>
        <v>4872.2</v>
      </c>
    </row>
    <row r="275" spans="1:14" ht="12.75">
      <c r="A275" s="7"/>
      <c r="B275" s="5" t="s">
        <v>155</v>
      </c>
      <c r="C275" s="5">
        <v>18708.4</v>
      </c>
      <c r="D275" s="10">
        <f>C275/I275</f>
        <v>62.779865771812084</v>
      </c>
      <c r="E275" s="10"/>
      <c r="F275" s="10"/>
      <c r="G275" s="10">
        <f>19159.7-E275-C275-M275</f>
        <v>451.2999999999993</v>
      </c>
      <c r="H275" s="10">
        <f>G275/I275</f>
        <v>1.5144295302013397</v>
      </c>
      <c r="I275" s="73">
        <f t="shared" si="71"/>
        <v>298</v>
      </c>
      <c r="J275" s="10">
        <f>(D275+F275+H275)</f>
        <v>64.29429530201342</v>
      </c>
      <c r="K275" s="17">
        <f>K273</f>
        <v>298</v>
      </c>
      <c r="L275" s="18">
        <f t="shared" si="79"/>
        <v>19159.7</v>
      </c>
      <c r="M275" s="19"/>
      <c r="N275" s="21">
        <f t="shared" si="80"/>
        <v>19159.7</v>
      </c>
    </row>
    <row r="276" spans="1:14" ht="12.75">
      <c r="A276" s="7">
        <v>23</v>
      </c>
      <c r="B276" s="5" t="s">
        <v>85</v>
      </c>
      <c r="C276" s="9">
        <f aca="true" t="shared" si="93" ref="C276:H276">C277+C278</f>
        <v>4226.1</v>
      </c>
      <c r="D276" s="9">
        <f t="shared" si="93"/>
        <v>86.24693877551019</v>
      </c>
      <c r="E276" s="9">
        <f t="shared" si="93"/>
        <v>220</v>
      </c>
      <c r="F276" s="9">
        <f t="shared" si="93"/>
        <v>4.489795918367347</v>
      </c>
      <c r="G276" s="9">
        <f t="shared" si="93"/>
        <v>568.8000000000001</v>
      </c>
      <c r="H276" s="9">
        <f t="shared" si="93"/>
        <v>11.608163265306125</v>
      </c>
      <c r="I276" s="28">
        <f t="shared" si="71"/>
        <v>49</v>
      </c>
      <c r="J276" s="9">
        <f>J277+J278</f>
        <v>102.34489795918367</v>
      </c>
      <c r="K276" s="74">
        <v>49</v>
      </c>
      <c r="L276" s="9">
        <f t="shared" si="79"/>
        <v>5014.9</v>
      </c>
      <c r="M276" s="19">
        <v>145.6</v>
      </c>
      <c r="N276" s="19">
        <f t="shared" si="80"/>
        <v>5160.5</v>
      </c>
    </row>
    <row r="277" spans="1:14" ht="12.75">
      <c r="A277" s="7"/>
      <c r="B277" s="5" t="s">
        <v>7</v>
      </c>
      <c r="C277" s="5">
        <v>1058.1</v>
      </c>
      <c r="D277" s="10">
        <f>C277/I277</f>
        <v>21.593877551020405</v>
      </c>
      <c r="E277" s="10">
        <v>220</v>
      </c>
      <c r="F277" s="54">
        <f>E277/I277</f>
        <v>4.489795918367347</v>
      </c>
      <c r="G277" s="10">
        <f>1909.4-E277-C277-M277</f>
        <v>485.70000000000016</v>
      </c>
      <c r="H277" s="10">
        <f>G277/I277</f>
        <v>9.912244897959187</v>
      </c>
      <c r="I277" s="73">
        <f t="shared" si="71"/>
        <v>49</v>
      </c>
      <c r="J277" s="10">
        <f>(D277+F277+H277)</f>
        <v>35.99591836734694</v>
      </c>
      <c r="K277" s="17">
        <f>K276</f>
        <v>49</v>
      </c>
      <c r="L277" s="18">
        <f t="shared" si="79"/>
        <v>1763.8</v>
      </c>
      <c r="M277" s="21">
        <f>M276</f>
        <v>145.6</v>
      </c>
      <c r="N277" s="21">
        <f t="shared" si="80"/>
        <v>1909.3999999999999</v>
      </c>
    </row>
    <row r="278" spans="1:14" ht="12.75">
      <c r="A278" s="7"/>
      <c r="B278" s="5" t="s">
        <v>155</v>
      </c>
      <c r="C278" s="5">
        <v>3168</v>
      </c>
      <c r="D278" s="10">
        <f>C278/I278</f>
        <v>64.65306122448979</v>
      </c>
      <c r="E278" s="10"/>
      <c r="F278" s="10"/>
      <c r="G278" s="10">
        <f>3251.1-E278-C278-M278</f>
        <v>83.09999999999991</v>
      </c>
      <c r="H278" s="10">
        <f>G278/I278</f>
        <v>1.695918367346937</v>
      </c>
      <c r="I278" s="73">
        <f t="shared" si="71"/>
        <v>49</v>
      </c>
      <c r="J278" s="10">
        <f>(D278+F278+H278)</f>
        <v>66.34897959183672</v>
      </c>
      <c r="K278" s="17">
        <f>K276</f>
        <v>49</v>
      </c>
      <c r="L278" s="18">
        <f t="shared" si="79"/>
        <v>3251.0999999999995</v>
      </c>
      <c r="M278" s="21"/>
      <c r="N278" s="21">
        <f t="shared" si="80"/>
        <v>3251.0999999999995</v>
      </c>
    </row>
    <row r="279" spans="1:14" ht="12.75">
      <c r="A279" s="7">
        <v>24</v>
      </c>
      <c r="B279" s="5" t="s">
        <v>86</v>
      </c>
      <c r="C279" s="9">
        <f aca="true" t="shared" si="94" ref="C279:H279">C280+C281</f>
        <v>22814.5</v>
      </c>
      <c r="D279" s="9">
        <f t="shared" si="94"/>
        <v>111.8357843137255</v>
      </c>
      <c r="E279" s="9">
        <f t="shared" si="94"/>
        <v>326.5</v>
      </c>
      <c r="F279" s="9">
        <f t="shared" si="94"/>
        <v>1.6004901960784315</v>
      </c>
      <c r="G279" s="9">
        <f t="shared" si="94"/>
        <v>1312.2999999999984</v>
      </c>
      <c r="H279" s="9">
        <f t="shared" si="94"/>
        <v>6.432843137254894</v>
      </c>
      <c r="I279" s="28">
        <f t="shared" si="71"/>
        <v>204</v>
      </c>
      <c r="J279" s="9">
        <f>J280+J281</f>
        <v>119.86911764705881</v>
      </c>
      <c r="K279" s="74">
        <v>204</v>
      </c>
      <c r="L279" s="9">
        <f t="shared" si="79"/>
        <v>24453.3</v>
      </c>
      <c r="M279" s="19">
        <v>475.5</v>
      </c>
      <c r="N279" s="19">
        <f t="shared" si="80"/>
        <v>24928.8</v>
      </c>
    </row>
    <row r="280" spans="1:14" ht="12.75">
      <c r="A280" s="7"/>
      <c r="B280" s="5" t="s">
        <v>7</v>
      </c>
      <c r="C280" s="5">
        <v>3010.3</v>
      </c>
      <c r="D280" s="10">
        <f>C280/I280</f>
        <v>14.75637254901961</v>
      </c>
      <c r="E280" s="10">
        <v>326.5</v>
      </c>
      <c r="F280" s="54">
        <f>E280/I280</f>
        <v>1.6004901960784315</v>
      </c>
      <c r="G280" s="10">
        <f>4800.5-E280-C280-M280</f>
        <v>988.1999999999998</v>
      </c>
      <c r="H280" s="10">
        <f>G280/I280</f>
        <v>4.844117647058822</v>
      </c>
      <c r="I280" s="73">
        <f t="shared" si="71"/>
        <v>204</v>
      </c>
      <c r="J280" s="10">
        <f>(D280+F280+H280)</f>
        <v>21.200980392156865</v>
      </c>
      <c r="K280" s="17">
        <f>K279</f>
        <v>204</v>
      </c>
      <c r="L280" s="18">
        <f t="shared" si="79"/>
        <v>4325</v>
      </c>
      <c r="M280" s="21">
        <f>M279</f>
        <v>475.5</v>
      </c>
      <c r="N280" s="21">
        <f t="shared" si="80"/>
        <v>4800.5</v>
      </c>
    </row>
    <row r="281" spans="1:14" ht="12.75">
      <c r="A281" s="7"/>
      <c r="B281" s="5" t="s">
        <v>155</v>
      </c>
      <c r="C281" s="5">
        <v>19804.2</v>
      </c>
      <c r="D281" s="10">
        <f>C281/I281</f>
        <v>97.07941176470588</v>
      </c>
      <c r="E281" s="10"/>
      <c r="F281" s="10"/>
      <c r="G281" s="10">
        <f>20128.3-E281-C281-M281</f>
        <v>324.09999999999854</v>
      </c>
      <c r="H281" s="10">
        <f>G281/I281</f>
        <v>1.5887254901960712</v>
      </c>
      <c r="I281" s="73">
        <f aca="true" t="shared" si="95" ref="I281:I344">K281</f>
        <v>204</v>
      </c>
      <c r="J281" s="10">
        <f>(D281+F281+H281)</f>
        <v>98.66813725490195</v>
      </c>
      <c r="K281" s="17">
        <f>K279</f>
        <v>204</v>
      </c>
      <c r="L281" s="18">
        <f t="shared" si="79"/>
        <v>20128.3</v>
      </c>
      <c r="M281" s="21"/>
      <c r="N281" s="21">
        <f t="shared" si="80"/>
        <v>20128.3</v>
      </c>
    </row>
    <row r="282" spans="1:14" ht="12.75">
      <c r="A282" s="7">
        <v>25</v>
      </c>
      <c r="B282" s="5" t="s">
        <v>87</v>
      </c>
      <c r="C282" s="9">
        <f aca="true" t="shared" si="96" ref="C282:H282">C283+C284</f>
        <v>26384.5</v>
      </c>
      <c r="D282" s="9">
        <f t="shared" si="96"/>
        <v>112.27446808510638</v>
      </c>
      <c r="E282" s="9">
        <f t="shared" si="96"/>
        <v>604.4</v>
      </c>
      <c r="F282" s="9">
        <f t="shared" si="96"/>
        <v>2.5719148936170213</v>
      </c>
      <c r="G282" s="9">
        <f t="shared" si="96"/>
        <v>1169.6000000000022</v>
      </c>
      <c r="H282" s="9">
        <f t="shared" si="96"/>
        <v>4.977021276595753</v>
      </c>
      <c r="I282" s="28">
        <f t="shared" si="95"/>
        <v>235</v>
      </c>
      <c r="J282" s="9">
        <f>J283+J284</f>
        <v>119.82340425531916</v>
      </c>
      <c r="K282" s="74">
        <v>235</v>
      </c>
      <c r="L282" s="9">
        <f t="shared" si="79"/>
        <v>28158.500000000004</v>
      </c>
      <c r="M282" s="19">
        <v>489.6</v>
      </c>
      <c r="N282" s="19">
        <f t="shared" si="80"/>
        <v>28648.100000000002</v>
      </c>
    </row>
    <row r="283" spans="1:14" ht="12.75">
      <c r="A283" s="7"/>
      <c r="B283" s="5" t="s">
        <v>7</v>
      </c>
      <c r="C283" s="5">
        <v>3359.4</v>
      </c>
      <c r="D283" s="10">
        <f>C283/I283</f>
        <v>14.295319148936171</v>
      </c>
      <c r="E283" s="10">
        <v>604.4</v>
      </c>
      <c r="F283" s="54">
        <f>E283/I283</f>
        <v>2.5719148936170213</v>
      </c>
      <c r="G283" s="10">
        <f>5252.9-E283-C283-M283</f>
        <v>799.4999999999999</v>
      </c>
      <c r="H283" s="10">
        <f>G283/I283</f>
        <v>3.4021276595744676</v>
      </c>
      <c r="I283" s="73">
        <f t="shared" si="95"/>
        <v>235</v>
      </c>
      <c r="J283" s="10">
        <f>(D283+F283+H283)</f>
        <v>20.26936170212766</v>
      </c>
      <c r="K283" s="17">
        <f>K282</f>
        <v>235</v>
      </c>
      <c r="L283" s="18">
        <f t="shared" si="79"/>
        <v>4763.3</v>
      </c>
      <c r="M283" s="21">
        <f>M282</f>
        <v>489.6</v>
      </c>
      <c r="N283" s="21">
        <f t="shared" si="80"/>
        <v>5252.900000000001</v>
      </c>
    </row>
    <row r="284" spans="1:14" ht="12.75">
      <c r="A284" s="7"/>
      <c r="B284" s="5" t="s">
        <v>155</v>
      </c>
      <c r="C284" s="5">
        <v>23025.1</v>
      </c>
      <c r="D284" s="10">
        <f>C284/I284</f>
        <v>97.9791489361702</v>
      </c>
      <c r="E284" s="10"/>
      <c r="F284" s="10"/>
      <c r="G284" s="10">
        <f>23395.2-E284-C284-M284</f>
        <v>370.1000000000022</v>
      </c>
      <c r="H284" s="10">
        <f>G284/I284</f>
        <v>1.574893617021286</v>
      </c>
      <c r="I284" s="73">
        <f t="shared" si="95"/>
        <v>235</v>
      </c>
      <c r="J284" s="10">
        <f>(D284+F284+H284)</f>
        <v>99.5540425531915</v>
      </c>
      <c r="K284" s="17">
        <f>K282</f>
        <v>235</v>
      </c>
      <c r="L284" s="18">
        <f t="shared" si="79"/>
        <v>23395.2</v>
      </c>
      <c r="M284" s="21"/>
      <c r="N284" s="21">
        <f t="shared" si="80"/>
        <v>23395.2</v>
      </c>
    </row>
    <row r="285" spans="1:14" ht="12.75">
      <c r="A285" s="7">
        <v>26</v>
      </c>
      <c r="B285" s="5" t="s">
        <v>88</v>
      </c>
      <c r="C285" s="9">
        <f aca="true" t="shared" si="97" ref="C285:H285">C286+C287</f>
        <v>12136.199999999999</v>
      </c>
      <c r="D285" s="9">
        <f t="shared" si="97"/>
        <v>75.85125</v>
      </c>
      <c r="E285" s="9">
        <f t="shared" si="97"/>
        <v>332.6</v>
      </c>
      <c r="F285" s="9">
        <f t="shared" si="97"/>
        <v>2.0787500000000003</v>
      </c>
      <c r="G285" s="9">
        <f t="shared" si="97"/>
        <v>678.900000000001</v>
      </c>
      <c r="H285" s="9">
        <f t="shared" si="97"/>
        <v>4.243125000000006</v>
      </c>
      <c r="I285" s="28">
        <f t="shared" si="95"/>
        <v>160</v>
      </c>
      <c r="J285" s="9">
        <f>J286+J287</f>
        <v>82.173125</v>
      </c>
      <c r="K285" s="74">
        <v>160</v>
      </c>
      <c r="L285" s="9">
        <f t="shared" si="79"/>
        <v>13147.7</v>
      </c>
      <c r="M285" s="19">
        <v>172.5</v>
      </c>
      <c r="N285" s="19">
        <f t="shared" si="80"/>
        <v>13320.2</v>
      </c>
    </row>
    <row r="286" spans="1:14" ht="12.75">
      <c r="A286" s="7"/>
      <c r="B286" s="5" t="s">
        <v>7</v>
      </c>
      <c r="C286" s="5">
        <v>1909.4</v>
      </c>
      <c r="D286" s="10">
        <f>C286/I286</f>
        <v>11.93375</v>
      </c>
      <c r="E286" s="10">
        <v>332.6</v>
      </c>
      <c r="F286" s="54">
        <f>E286/I286</f>
        <v>2.0787500000000003</v>
      </c>
      <c r="G286" s="10">
        <f>2842.6-E286-C286-M286</f>
        <v>428.0999999999999</v>
      </c>
      <c r="H286" s="10">
        <f>G286/I286</f>
        <v>2.6756249999999993</v>
      </c>
      <c r="I286" s="73">
        <f t="shared" si="95"/>
        <v>160</v>
      </c>
      <c r="J286" s="10">
        <f>(D286+F286+H286)</f>
        <v>16.688125</v>
      </c>
      <c r="K286" s="17">
        <f>K285</f>
        <v>160</v>
      </c>
      <c r="L286" s="18">
        <f t="shared" si="79"/>
        <v>2670.1</v>
      </c>
      <c r="M286" s="21">
        <f>M285</f>
        <v>172.5</v>
      </c>
      <c r="N286" s="21">
        <f t="shared" si="80"/>
        <v>2842.6</v>
      </c>
    </row>
    <row r="287" spans="1:14" ht="12.75">
      <c r="A287" s="7"/>
      <c r="B287" s="5" t="s">
        <v>155</v>
      </c>
      <c r="C287" s="5">
        <v>10226.8</v>
      </c>
      <c r="D287" s="10">
        <f>C287/I287</f>
        <v>63.9175</v>
      </c>
      <c r="E287" s="10"/>
      <c r="F287" s="10"/>
      <c r="G287" s="10">
        <f>10477.6-E287-C287-M287</f>
        <v>250.8000000000011</v>
      </c>
      <c r="H287" s="10">
        <f>G287/I287</f>
        <v>1.5675000000000068</v>
      </c>
      <c r="I287" s="73">
        <f t="shared" si="95"/>
        <v>160</v>
      </c>
      <c r="J287" s="10">
        <f>(D287+F287+H287)</f>
        <v>65.485</v>
      </c>
      <c r="K287" s="17">
        <f>K285</f>
        <v>160</v>
      </c>
      <c r="L287" s="18">
        <f t="shared" si="79"/>
        <v>10477.6</v>
      </c>
      <c r="M287" s="21"/>
      <c r="N287" s="21">
        <f t="shared" si="80"/>
        <v>10477.6</v>
      </c>
    </row>
    <row r="288" spans="1:14" ht="12.75">
      <c r="A288" s="7">
        <v>27</v>
      </c>
      <c r="B288" s="5" t="s">
        <v>89</v>
      </c>
      <c r="C288" s="9">
        <f aca="true" t="shared" si="98" ref="C288:H288">C289+C290</f>
        <v>12123.7</v>
      </c>
      <c r="D288" s="9">
        <f t="shared" si="98"/>
        <v>83.61172413793105</v>
      </c>
      <c r="E288" s="9">
        <f t="shared" si="98"/>
        <v>449.2</v>
      </c>
      <c r="F288" s="9">
        <f t="shared" si="98"/>
        <v>3.0979310344827584</v>
      </c>
      <c r="G288" s="9">
        <f t="shared" si="98"/>
        <v>687.9999999999997</v>
      </c>
      <c r="H288" s="9">
        <f t="shared" si="98"/>
        <v>4.7448275862068945</v>
      </c>
      <c r="I288" s="28">
        <f t="shared" si="95"/>
        <v>145</v>
      </c>
      <c r="J288" s="9">
        <f>J289+J290</f>
        <v>91.4544827586207</v>
      </c>
      <c r="K288" s="74">
        <v>145</v>
      </c>
      <c r="L288" s="9">
        <f t="shared" si="79"/>
        <v>13260.900000000001</v>
      </c>
      <c r="M288" s="19">
        <v>226.4</v>
      </c>
      <c r="N288" s="19">
        <f t="shared" si="80"/>
        <v>13487.300000000001</v>
      </c>
    </row>
    <row r="289" spans="1:14" ht="12.75">
      <c r="A289" s="7"/>
      <c r="B289" s="5" t="s">
        <v>7</v>
      </c>
      <c r="C289" s="5">
        <v>1699</v>
      </c>
      <c r="D289" s="10">
        <f>C289/I289</f>
        <v>11.717241379310344</v>
      </c>
      <c r="E289" s="10">
        <v>449.2</v>
      </c>
      <c r="F289" s="54">
        <f>E289/I289</f>
        <v>3.0979310344827584</v>
      </c>
      <c r="G289" s="10">
        <f>2854.8-E289-C289-M289</f>
        <v>480.2000000000004</v>
      </c>
      <c r="H289" s="10">
        <f>G289/I289</f>
        <v>3.311724137931037</v>
      </c>
      <c r="I289" s="73">
        <f t="shared" si="95"/>
        <v>145</v>
      </c>
      <c r="J289" s="10">
        <f>(D289+F289+H289)</f>
        <v>18.12689655172414</v>
      </c>
      <c r="K289" s="17">
        <f>K288</f>
        <v>145</v>
      </c>
      <c r="L289" s="18">
        <f t="shared" si="79"/>
        <v>2628.4000000000005</v>
      </c>
      <c r="M289" s="21">
        <f>M288</f>
        <v>226.4</v>
      </c>
      <c r="N289" s="21">
        <f t="shared" si="80"/>
        <v>2854.8000000000006</v>
      </c>
    </row>
    <row r="290" spans="1:14" ht="12.75">
      <c r="A290" s="7"/>
      <c r="B290" s="5" t="s">
        <v>155</v>
      </c>
      <c r="C290" s="5">
        <v>10424.7</v>
      </c>
      <c r="D290" s="10">
        <f>C290/I290</f>
        <v>71.8944827586207</v>
      </c>
      <c r="E290" s="10"/>
      <c r="F290" s="10"/>
      <c r="G290" s="10">
        <f>10632.5-E290-C290-M290</f>
        <v>207.79999999999927</v>
      </c>
      <c r="H290" s="10">
        <f>G290/I290</f>
        <v>1.4331034482758571</v>
      </c>
      <c r="I290" s="73">
        <f t="shared" si="95"/>
        <v>145</v>
      </c>
      <c r="J290" s="10">
        <f>(D290+F290+H290)</f>
        <v>73.32758620689656</v>
      </c>
      <c r="K290" s="17">
        <f>K288</f>
        <v>145</v>
      </c>
      <c r="L290" s="18">
        <f t="shared" si="79"/>
        <v>10632.5</v>
      </c>
      <c r="M290" s="19"/>
      <c r="N290" s="21">
        <f t="shared" si="80"/>
        <v>10632.5</v>
      </c>
    </row>
    <row r="291" spans="1:14" ht="12.75">
      <c r="A291" s="7">
        <v>28</v>
      </c>
      <c r="B291" s="5" t="s">
        <v>90</v>
      </c>
      <c r="C291" s="9">
        <f aca="true" t="shared" si="99" ref="C291:H291">C292+C293</f>
        <v>8898.8</v>
      </c>
      <c r="D291" s="9">
        <f t="shared" si="99"/>
        <v>117.08947368421053</v>
      </c>
      <c r="E291" s="9">
        <f t="shared" si="99"/>
        <v>298.5</v>
      </c>
      <c r="F291" s="9">
        <f t="shared" si="99"/>
        <v>3.9276315789473686</v>
      </c>
      <c r="G291" s="9">
        <f t="shared" si="99"/>
        <v>465.10000000000036</v>
      </c>
      <c r="H291" s="9">
        <f t="shared" si="99"/>
        <v>6.119736842105268</v>
      </c>
      <c r="I291" s="28">
        <f t="shared" si="95"/>
        <v>76</v>
      </c>
      <c r="J291" s="9">
        <f>J292+J293</f>
        <v>127.13684210526317</v>
      </c>
      <c r="K291" s="74">
        <v>76</v>
      </c>
      <c r="L291" s="9">
        <f t="shared" si="79"/>
        <v>9662.400000000001</v>
      </c>
      <c r="M291" s="19">
        <v>156.5</v>
      </c>
      <c r="N291" s="19">
        <f t="shared" si="80"/>
        <v>9818.900000000001</v>
      </c>
    </row>
    <row r="292" spans="1:14" ht="12.75">
      <c r="A292" s="7"/>
      <c r="B292" s="5" t="s">
        <v>7</v>
      </c>
      <c r="C292" s="5">
        <v>1570.5</v>
      </c>
      <c r="D292" s="10">
        <f>C292/I292</f>
        <v>20.664473684210527</v>
      </c>
      <c r="E292" s="10">
        <v>298.5</v>
      </c>
      <c r="F292" s="54">
        <f>E292/I292</f>
        <v>3.9276315789473686</v>
      </c>
      <c r="G292" s="10">
        <f>2377.3-E292-C292-M292</f>
        <v>351.8000000000002</v>
      </c>
      <c r="H292" s="10">
        <f>G292/I292</f>
        <v>4.628947368421055</v>
      </c>
      <c r="I292" s="73">
        <f t="shared" si="95"/>
        <v>76</v>
      </c>
      <c r="J292" s="10">
        <f>(D292+F292+H292)</f>
        <v>29.221052631578953</v>
      </c>
      <c r="K292" s="17">
        <f>K291</f>
        <v>76</v>
      </c>
      <c r="L292" s="18">
        <f t="shared" si="79"/>
        <v>2220.8000000000006</v>
      </c>
      <c r="M292" s="21">
        <f>M291</f>
        <v>156.5</v>
      </c>
      <c r="N292" s="21">
        <f t="shared" si="80"/>
        <v>2377.3000000000006</v>
      </c>
    </row>
    <row r="293" spans="1:14" ht="12.75">
      <c r="A293" s="7"/>
      <c r="B293" s="5" t="s">
        <v>155</v>
      </c>
      <c r="C293" s="5">
        <v>7328.3</v>
      </c>
      <c r="D293" s="10">
        <f>C293/I293</f>
        <v>96.425</v>
      </c>
      <c r="E293" s="10"/>
      <c r="F293" s="10"/>
      <c r="G293" s="10">
        <f>7441.6-E293-C293-M293</f>
        <v>113.30000000000018</v>
      </c>
      <c r="H293" s="10">
        <f>G293/I293</f>
        <v>1.4907894736842129</v>
      </c>
      <c r="I293" s="73">
        <f t="shared" si="95"/>
        <v>76</v>
      </c>
      <c r="J293" s="10">
        <f>(D293+F293+H293)</f>
        <v>97.91578947368421</v>
      </c>
      <c r="K293" s="17">
        <f>K291</f>
        <v>76</v>
      </c>
      <c r="L293" s="18">
        <f t="shared" si="79"/>
        <v>7441.6</v>
      </c>
      <c r="M293" s="21"/>
      <c r="N293" s="21">
        <f t="shared" si="80"/>
        <v>7441.6</v>
      </c>
    </row>
    <row r="294" spans="1:14" ht="12.75">
      <c r="A294" s="7">
        <v>29</v>
      </c>
      <c r="B294" s="5" t="s">
        <v>91</v>
      </c>
      <c r="C294" s="9">
        <f aca="true" t="shared" si="100" ref="C294:H294">C295+C296</f>
        <v>12057.099999999999</v>
      </c>
      <c r="D294" s="9">
        <f t="shared" si="100"/>
        <v>83.7298611111111</v>
      </c>
      <c r="E294" s="9">
        <f t="shared" si="100"/>
        <v>440.1</v>
      </c>
      <c r="F294" s="9">
        <f t="shared" si="100"/>
        <v>3.0562500000000004</v>
      </c>
      <c r="G294" s="9">
        <f t="shared" si="100"/>
        <v>662.1000000000001</v>
      </c>
      <c r="H294" s="9">
        <f t="shared" si="100"/>
        <v>4.597916666666668</v>
      </c>
      <c r="I294" s="28">
        <f t="shared" si="95"/>
        <v>144</v>
      </c>
      <c r="J294" s="9">
        <f>J295+J296</f>
        <v>91.38402777777777</v>
      </c>
      <c r="K294" s="74">
        <v>144</v>
      </c>
      <c r="L294" s="9">
        <f t="shared" si="79"/>
        <v>13159.3</v>
      </c>
      <c r="M294" s="19">
        <v>394.2</v>
      </c>
      <c r="N294" s="19">
        <f t="shared" si="80"/>
        <v>13553.5</v>
      </c>
    </row>
    <row r="295" spans="1:14" ht="12.75">
      <c r="A295" s="7"/>
      <c r="B295" s="5" t="s">
        <v>7</v>
      </c>
      <c r="C295" s="5">
        <v>2133.7</v>
      </c>
      <c r="D295" s="10">
        <f>C295/I295</f>
        <v>14.81736111111111</v>
      </c>
      <c r="E295" s="10">
        <v>440.1</v>
      </c>
      <c r="F295" s="54">
        <f>E295/I295</f>
        <v>3.0562500000000004</v>
      </c>
      <c r="G295" s="10">
        <f>3406.1-E295-C295-M295</f>
        <v>438.1000000000002</v>
      </c>
      <c r="H295" s="10">
        <f>G295/I295</f>
        <v>3.0423611111111124</v>
      </c>
      <c r="I295" s="73">
        <f t="shared" si="95"/>
        <v>144</v>
      </c>
      <c r="J295" s="10">
        <f>(D295+F295+H295)</f>
        <v>20.915972222222223</v>
      </c>
      <c r="K295" s="17">
        <f>K294</f>
        <v>144</v>
      </c>
      <c r="L295" s="18">
        <f t="shared" si="79"/>
        <v>3011.9</v>
      </c>
      <c r="M295" s="21">
        <f>M294</f>
        <v>394.2</v>
      </c>
      <c r="N295" s="21">
        <f t="shared" si="80"/>
        <v>3406.1</v>
      </c>
    </row>
    <row r="296" spans="1:14" ht="12.75">
      <c r="A296" s="7"/>
      <c r="B296" s="5" t="s">
        <v>155</v>
      </c>
      <c r="C296" s="5">
        <f>9912.9+10.5</f>
        <v>9923.4</v>
      </c>
      <c r="D296" s="10">
        <f>C296/I296</f>
        <v>68.9125</v>
      </c>
      <c r="E296" s="10"/>
      <c r="F296" s="10"/>
      <c r="G296" s="10">
        <f>10136.9+10.5-E296-C296-M296</f>
        <v>224</v>
      </c>
      <c r="H296" s="10">
        <f>G296/I296</f>
        <v>1.5555555555555556</v>
      </c>
      <c r="I296" s="73">
        <f t="shared" si="95"/>
        <v>144</v>
      </c>
      <c r="J296" s="10">
        <f>(D296+F296+H296)</f>
        <v>70.46805555555555</v>
      </c>
      <c r="K296" s="17">
        <f>K294</f>
        <v>144</v>
      </c>
      <c r="L296" s="18">
        <f t="shared" si="79"/>
        <v>10147.4</v>
      </c>
      <c r="M296" s="21"/>
      <c r="N296" s="21">
        <f t="shared" si="80"/>
        <v>10147.4</v>
      </c>
    </row>
    <row r="297" spans="1:14" ht="12.75">
      <c r="A297" s="7">
        <v>30</v>
      </c>
      <c r="B297" s="5" t="s">
        <v>92</v>
      </c>
      <c r="C297" s="9">
        <f aca="true" t="shared" si="101" ref="C297:H297">C298+C299</f>
        <v>27741.2</v>
      </c>
      <c r="D297" s="9">
        <f t="shared" si="101"/>
        <v>77.70644257703081</v>
      </c>
      <c r="E297" s="9">
        <f t="shared" si="101"/>
        <v>975.8</v>
      </c>
      <c r="F297" s="9">
        <f t="shared" si="101"/>
        <v>2.7333333333333334</v>
      </c>
      <c r="G297" s="9">
        <f t="shared" si="101"/>
        <v>1463.8999999999983</v>
      </c>
      <c r="H297" s="9">
        <f t="shared" si="101"/>
        <v>4.100560224089632</v>
      </c>
      <c r="I297" s="28">
        <f t="shared" si="95"/>
        <v>357</v>
      </c>
      <c r="J297" s="9">
        <f>J298+J299</f>
        <v>84.54033613445378</v>
      </c>
      <c r="K297" s="74">
        <v>357</v>
      </c>
      <c r="L297" s="9">
        <f t="shared" si="79"/>
        <v>30180.9</v>
      </c>
      <c r="M297" s="19">
        <v>670.9</v>
      </c>
      <c r="N297" s="19">
        <f t="shared" si="80"/>
        <v>30851.800000000003</v>
      </c>
    </row>
    <row r="298" spans="1:14" ht="12.75">
      <c r="A298" s="7"/>
      <c r="B298" s="5" t="s">
        <v>7</v>
      </c>
      <c r="C298" s="5">
        <v>3474</v>
      </c>
      <c r="D298" s="10">
        <f>C298/I298</f>
        <v>9.731092436974789</v>
      </c>
      <c r="E298" s="10">
        <v>975.8</v>
      </c>
      <c r="F298" s="54">
        <f>E298/I298</f>
        <v>2.7333333333333334</v>
      </c>
      <c r="G298" s="10">
        <f>6043-E298-C298-M298</f>
        <v>922.2999999999998</v>
      </c>
      <c r="H298" s="10">
        <f>G298/I298</f>
        <v>2.583473389355742</v>
      </c>
      <c r="I298" s="73">
        <f t="shared" si="95"/>
        <v>357</v>
      </c>
      <c r="J298" s="10">
        <f>(D298+F298+H298)</f>
        <v>15.047899159663864</v>
      </c>
      <c r="K298" s="17">
        <f>K297</f>
        <v>357</v>
      </c>
      <c r="L298" s="18">
        <f t="shared" si="79"/>
        <v>5372.099999999999</v>
      </c>
      <c r="M298" s="21">
        <f>M297</f>
        <v>670.9</v>
      </c>
      <c r="N298" s="21">
        <f t="shared" si="80"/>
        <v>6042.999999999999</v>
      </c>
    </row>
    <row r="299" spans="1:14" ht="12.75">
      <c r="A299" s="7"/>
      <c r="B299" s="5" t="s">
        <v>155</v>
      </c>
      <c r="C299" s="5">
        <v>24267.2</v>
      </c>
      <c r="D299" s="10">
        <f>C299/I299</f>
        <v>67.97535014005602</v>
      </c>
      <c r="E299" s="10"/>
      <c r="F299" s="10"/>
      <c r="G299" s="10">
        <f>24808.8-E299-C299-M299</f>
        <v>541.5999999999985</v>
      </c>
      <c r="H299" s="10">
        <f>G299/I299</f>
        <v>1.5170868347338895</v>
      </c>
      <c r="I299" s="73">
        <f t="shared" si="95"/>
        <v>357</v>
      </c>
      <c r="J299" s="10">
        <f>(D299+F299+H299)</f>
        <v>69.49243697478991</v>
      </c>
      <c r="K299" s="17">
        <f>K297</f>
        <v>357</v>
      </c>
      <c r="L299" s="18">
        <f t="shared" si="79"/>
        <v>24808.8</v>
      </c>
      <c r="M299" s="21"/>
      <c r="N299" s="21">
        <f t="shared" si="80"/>
        <v>24808.8</v>
      </c>
    </row>
    <row r="300" spans="1:14" ht="12.75">
      <c r="A300" s="7">
        <v>31</v>
      </c>
      <c r="B300" s="5" t="s">
        <v>93</v>
      </c>
      <c r="C300" s="9">
        <f aca="true" t="shared" si="102" ref="C300:H300">C301+C302</f>
        <v>10452.6</v>
      </c>
      <c r="D300" s="9">
        <f t="shared" si="102"/>
        <v>86.38512396694215</v>
      </c>
      <c r="E300" s="9">
        <f t="shared" si="102"/>
        <v>667.5</v>
      </c>
      <c r="F300" s="9">
        <f t="shared" si="102"/>
        <v>5.516528925619835</v>
      </c>
      <c r="G300" s="9">
        <f t="shared" si="102"/>
        <v>448.5000000000018</v>
      </c>
      <c r="H300" s="9">
        <f t="shared" si="102"/>
        <v>3.706611570247949</v>
      </c>
      <c r="I300" s="28">
        <f t="shared" si="95"/>
        <v>121</v>
      </c>
      <c r="J300" s="9">
        <f>J301+J302</f>
        <v>95.60826446280993</v>
      </c>
      <c r="K300" s="74">
        <v>121</v>
      </c>
      <c r="L300" s="9">
        <f t="shared" si="79"/>
        <v>11568.6</v>
      </c>
      <c r="M300" s="19">
        <v>245</v>
      </c>
      <c r="N300" s="19">
        <f t="shared" si="80"/>
        <v>11813.6</v>
      </c>
    </row>
    <row r="301" spans="1:14" ht="12.75">
      <c r="A301" s="7"/>
      <c r="B301" s="5" t="s">
        <v>7</v>
      </c>
      <c r="C301" s="5">
        <f>1705.8+94.8</f>
        <v>1800.6</v>
      </c>
      <c r="D301" s="10">
        <f>C301/I301</f>
        <v>14.88099173553719</v>
      </c>
      <c r="E301" s="10">
        <v>667.5</v>
      </c>
      <c r="F301" s="54">
        <f>E301/I301</f>
        <v>5.516528925619835</v>
      </c>
      <c r="G301" s="10">
        <f>2870.9+94.8-E301-C301-M301</f>
        <v>252.60000000000036</v>
      </c>
      <c r="H301" s="10">
        <f>G301/I301</f>
        <v>2.087603305785127</v>
      </c>
      <c r="I301" s="73">
        <f t="shared" si="95"/>
        <v>121</v>
      </c>
      <c r="J301" s="10">
        <f>(D301+F301+H301)</f>
        <v>22.48512396694215</v>
      </c>
      <c r="K301" s="17">
        <f>K300</f>
        <v>121</v>
      </c>
      <c r="L301" s="18">
        <f aca="true" t="shared" si="103" ref="L301:L365">J301*K301</f>
        <v>2720.7000000000003</v>
      </c>
      <c r="M301" s="21">
        <f>M300</f>
        <v>245</v>
      </c>
      <c r="N301" s="21">
        <f aca="true" t="shared" si="104" ref="N301:N365">L301+M301</f>
        <v>2965.7000000000003</v>
      </c>
    </row>
    <row r="302" spans="1:14" ht="12.75">
      <c r="A302" s="7"/>
      <c r="B302" s="5" t="s">
        <v>155</v>
      </c>
      <c r="C302" s="5">
        <f>8746.8-94.8</f>
        <v>8652</v>
      </c>
      <c r="D302" s="10">
        <f>C302/I302</f>
        <v>71.50413223140495</v>
      </c>
      <c r="E302" s="10"/>
      <c r="F302" s="10"/>
      <c r="G302" s="10">
        <f>8942.7-94.8-E302-C302-M302</f>
        <v>195.90000000000146</v>
      </c>
      <c r="H302" s="10">
        <f>G302/I302</f>
        <v>1.6190082644628219</v>
      </c>
      <c r="I302" s="73">
        <f t="shared" si="95"/>
        <v>121</v>
      </c>
      <c r="J302" s="10">
        <f>(D302+F302+H302)</f>
        <v>73.12314049586777</v>
      </c>
      <c r="K302" s="17">
        <f>K300</f>
        <v>121</v>
      </c>
      <c r="L302" s="18">
        <f t="shared" si="103"/>
        <v>8847.9</v>
      </c>
      <c r="M302" s="21"/>
      <c r="N302" s="21">
        <f t="shared" si="104"/>
        <v>8847.9</v>
      </c>
    </row>
    <row r="303" spans="1:14" ht="12.75">
      <c r="A303" s="7">
        <v>32</v>
      </c>
      <c r="B303" s="5" t="s">
        <v>94</v>
      </c>
      <c r="C303" s="9">
        <f aca="true" t="shared" si="105" ref="C303:H303">C304+C305</f>
        <v>15481.7</v>
      </c>
      <c r="D303" s="9">
        <f t="shared" si="105"/>
        <v>93.26325301204818</v>
      </c>
      <c r="E303" s="9">
        <f t="shared" si="105"/>
        <v>748.4</v>
      </c>
      <c r="F303" s="9">
        <f t="shared" si="105"/>
        <v>4.508433734939759</v>
      </c>
      <c r="G303" s="9">
        <f t="shared" si="105"/>
        <v>618.8999999999992</v>
      </c>
      <c r="H303" s="9">
        <f t="shared" si="105"/>
        <v>3.7283132530120433</v>
      </c>
      <c r="I303" s="28">
        <f t="shared" si="95"/>
        <v>166</v>
      </c>
      <c r="J303" s="9">
        <f>J304+J305</f>
        <v>101.49999999999999</v>
      </c>
      <c r="K303" s="74">
        <v>166</v>
      </c>
      <c r="L303" s="9">
        <f t="shared" si="103"/>
        <v>16848.999999999996</v>
      </c>
      <c r="M303" s="19">
        <v>499</v>
      </c>
      <c r="N303" s="19">
        <f t="shared" si="104"/>
        <v>17347.999999999996</v>
      </c>
    </row>
    <row r="304" spans="1:14" ht="12.75">
      <c r="A304" s="7"/>
      <c r="B304" s="5" t="s">
        <v>7</v>
      </c>
      <c r="C304" s="5">
        <v>2097.8</v>
      </c>
      <c r="D304" s="10">
        <f>C304/I304</f>
        <v>12.637349397590363</v>
      </c>
      <c r="E304" s="10">
        <v>748.4</v>
      </c>
      <c r="F304" s="54">
        <f>E304/I304</f>
        <v>4.508433734939759</v>
      </c>
      <c r="G304" s="10">
        <f>3730.2-E304-C304-M304</f>
        <v>384.99999999999955</v>
      </c>
      <c r="H304" s="10">
        <f>G304/I304</f>
        <v>2.3192771084337322</v>
      </c>
      <c r="I304" s="73">
        <f t="shared" si="95"/>
        <v>166</v>
      </c>
      <c r="J304" s="10">
        <f>(D304+F304+H304)</f>
        <v>19.46506024096385</v>
      </c>
      <c r="K304" s="17">
        <f>K303</f>
        <v>166</v>
      </c>
      <c r="L304" s="18">
        <f t="shared" si="103"/>
        <v>3231.1999999999994</v>
      </c>
      <c r="M304" s="21">
        <f>M303</f>
        <v>499</v>
      </c>
      <c r="N304" s="21">
        <f t="shared" si="104"/>
        <v>3730.1999999999994</v>
      </c>
    </row>
    <row r="305" spans="1:14" ht="12.75">
      <c r="A305" s="7"/>
      <c r="B305" s="5" t="s">
        <v>155</v>
      </c>
      <c r="C305" s="5">
        <v>13383.9</v>
      </c>
      <c r="D305" s="10">
        <f>C305/I305</f>
        <v>80.62590361445783</v>
      </c>
      <c r="E305" s="10"/>
      <c r="F305" s="10"/>
      <c r="G305" s="10">
        <f>13617.8-E305-C305-M305</f>
        <v>233.89999999999964</v>
      </c>
      <c r="H305" s="10">
        <f>G305/I305</f>
        <v>1.409036144578311</v>
      </c>
      <c r="I305" s="73">
        <f t="shared" si="95"/>
        <v>166</v>
      </c>
      <c r="J305" s="10">
        <f>(D305+F305+H305)</f>
        <v>82.03493975903613</v>
      </c>
      <c r="K305" s="17">
        <f>K303</f>
        <v>166</v>
      </c>
      <c r="L305" s="18">
        <f t="shared" si="103"/>
        <v>13617.8</v>
      </c>
      <c r="M305" s="19"/>
      <c r="N305" s="21">
        <f t="shared" si="104"/>
        <v>13617.8</v>
      </c>
    </row>
    <row r="306" spans="1:14" ht="12.75">
      <c r="A306" s="7">
        <v>33</v>
      </c>
      <c r="B306" s="5" t="s">
        <v>95</v>
      </c>
      <c r="C306" s="9">
        <f aca="true" t="shared" si="106" ref="C306:H306">C307+C308</f>
        <v>21730.7</v>
      </c>
      <c r="D306" s="9">
        <f t="shared" si="106"/>
        <v>79.8922794117647</v>
      </c>
      <c r="E306" s="9">
        <f t="shared" si="106"/>
        <v>1080.4</v>
      </c>
      <c r="F306" s="9">
        <f t="shared" si="106"/>
        <v>3.9720588235294123</v>
      </c>
      <c r="G306" s="9">
        <f t="shared" si="106"/>
        <v>914.600000000001</v>
      </c>
      <c r="H306" s="9">
        <f t="shared" si="106"/>
        <v>3.362500000000004</v>
      </c>
      <c r="I306" s="28">
        <f t="shared" si="95"/>
        <v>272</v>
      </c>
      <c r="J306" s="9">
        <f>J307+J308</f>
        <v>87.22683823529412</v>
      </c>
      <c r="K306" s="74">
        <v>272</v>
      </c>
      <c r="L306" s="9">
        <f t="shared" si="103"/>
        <v>23725.7</v>
      </c>
      <c r="M306" s="19">
        <v>441.8</v>
      </c>
      <c r="N306" s="19">
        <f t="shared" si="104"/>
        <v>24167.5</v>
      </c>
    </row>
    <row r="307" spans="1:14" ht="12.75">
      <c r="A307" s="7"/>
      <c r="B307" s="5" t="s">
        <v>7</v>
      </c>
      <c r="C307" s="5">
        <v>2907.7</v>
      </c>
      <c r="D307" s="10">
        <f>C307/I307</f>
        <v>10.690073529411764</v>
      </c>
      <c r="E307" s="10">
        <v>1080.4</v>
      </c>
      <c r="F307" s="54">
        <f>E307/I307</f>
        <v>3.9720588235294123</v>
      </c>
      <c r="G307" s="10">
        <f>4943.3-E307-C307-M307</f>
        <v>513.4000000000003</v>
      </c>
      <c r="H307" s="10">
        <f>G307/I307</f>
        <v>1.887500000000001</v>
      </c>
      <c r="I307" s="73">
        <f t="shared" si="95"/>
        <v>272</v>
      </c>
      <c r="J307" s="10">
        <f>(D307+F307+H307)</f>
        <v>16.549632352941178</v>
      </c>
      <c r="K307" s="17">
        <f>K306</f>
        <v>272</v>
      </c>
      <c r="L307" s="18">
        <f t="shared" si="103"/>
        <v>4501.5</v>
      </c>
      <c r="M307" s="21">
        <f>M306</f>
        <v>441.8</v>
      </c>
      <c r="N307" s="21">
        <f t="shared" si="104"/>
        <v>4943.3</v>
      </c>
    </row>
    <row r="308" spans="1:14" ht="12.75">
      <c r="A308" s="7"/>
      <c r="B308" s="5" t="s">
        <v>155</v>
      </c>
      <c r="C308" s="5">
        <v>18823</v>
      </c>
      <c r="D308" s="10">
        <f>C308/I308</f>
        <v>69.20220588235294</v>
      </c>
      <c r="E308" s="10"/>
      <c r="F308" s="10"/>
      <c r="G308" s="10">
        <f>19224.2-E308-C308-M308</f>
        <v>401.2000000000007</v>
      </c>
      <c r="H308" s="10">
        <f>G308/I308</f>
        <v>1.4750000000000028</v>
      </c>
      <c r="I308" s="73">
        <f t="shared" si="95"/>
        <v>272</v>
      </c>
      <c r="J308" s="10">
        <f>(D308+F308+H308)</f>
        <v>70.67720588235295</v>
      </c>
      <c r="K308" s="17">
        <f>K306</f>
        <v>272</v>
      </c>
      <c r="L308" s="18">
        <f t="shared" si="103"/>
        <v>19224.200000000004</v>
      </c>
      <c r="M308" s="21"/>
      <c r="N308" s="21">
        <f t="shared" si="104"/>
        <v>19224.200000000004</v>
      </c>
    </row>
    <row r="309" spans="1:14" ht="12.75">
      <c r="A309" s="7">
        <v>34</v>
      </c>
      <c r="B309" s="5" t="s">
        <v>96</v>
      </c>
      <c r="C309" s="9">
        <f aca="true" t="shared" si="107" ref="C309:H309">C310+C311</f>
        <v>10802.199999999999</v>
      </c>
      <c r="D309" s="9">
        <f t="shared" si="107"/>
        <v>86.4176</v>
      </c>
      <c r="E309" s="9">
        <f t="shared" si="107"/>
        <v>406.2</v>
      </c>
      <c r="F309" s="9">
        <f t="shared" si="107"/>
        <v>3.2496</v>
      </c>
      <c r="G309" s="9">
        <f t="shared" si="107"/>
        <v>586.4000000000015</v>
      </c>
      <c r="H309" s="9">
        <f t="shared" si="107"/>
        <v>4.691200000000012</v>
      </c>
      <c r="I309" s="28">
        <f t="shared" si="95"/>
        <v>125</v>
      </c>
      <c r="J309" s="9">
        <f>J310+J311</f>
        <v>94.35840000000002</v>
      </c>
      <c r="K309" s="74">
        <v>125</v>
      </c>
      <c r="L309" s="9">
        <f t="shared" si="103"/>
        <v>11794.800000000003</v>
      </c>
      <c r="M309" s="19">
        <v>211</v>
      </c>
      <c r="N309" s="19">
        <f t="shared" si="104"/>
        <v>12005.800000000003</v>
      </c>
    </row>
    <row r="310" spans="1:14" ht="12.75">
      <c r="A310" s="7"/>
      <c r="B310" s="5" t="s">
        <v>7</v>
      </c>
      <c r="C310" s="5">
        <v>1846.9</v>
      </c>
      <c r="D310" s="10">
        <f>C310/I310</f>
        <v>14.7752</v>
      </c>
      <c r="E310" s="10">
        <v>406.2</v>
      </c>
      <c r="F310" s="54">
        <f>E310/I310</f>
        <v>3.2496</v>
      </c>
      <c r="G310" s="10">
        <f>2866.1-E310-C310-M310</f>
        <v>402</v>
      </c>
      <c r="H310" s="10">
        <f>G310/I310</f>
        <v>3.216</v>
      </c>
      <c r="I310" s="73">
        <f t="shared" si="95"/>
        <v>125</v>
      </c>
      <c r="J310" s="10">
        <f>(D310+F310+H310)</f>
        <v>21.2408</v>
      </c>
      <c r="K310" s="17">
        <f>K309</f>
        <v>125</v>
      </c>
      <c r="L310" s="18">
        <f t="shared" si="103"/>
        <v>2655.1</v>
      </c>
      <c r="M310" s="21">
        <f>M309</f>
        <v>211</v>
      </c>
      <c r="N310" s="21">
        <f t="shared" si="104"/>
        <v>2866.1</v>
      </c>
    </row>
    <row r="311" spans="1:14" ht="12.75">
      <c r="A311" s="7"/>
      <c r="B311" s="5" t="s">
        <v>155</v>
      </c>
      <c r="C311" s="5">
        <v>8955.3</v>
      </c>
      <c r="D311" s="10">
        <f>C311/I311</f>
        <v>71.6424</v>
      </c>
      <c r="E311" s="10"/>
      <c r="F311" s="10"/>
      <c r="G311" s="10">
        <f>9139.7-E311-C311-M311</f>
        <v>184.40000000000146</v>
      </c>
      <c r="H311" s="10">
        <f>G311/I311</f>
        <v>1.4752000000000116</v>
      </c>
      <c r="I311" s="73">
        <f t="shared" si="95"/>
        <v>125</v>
      </c>
      <c r="J311" s="10">
        <f>(D311+F311+H311)</f>
        <v>73.11760000000001</v>
      </c>
      <c r="K311" s="17">
        <f>K309</f>
        <v>125</v>
      </c>
      <c r="L311" s="18">
        <f t="shared" si="103"/>
        <v>9139.7</v>
      </c>
      <c r="M311" s="21"/>
      <c r="N311" s="21">
        <f t="shared" si="104"/>
        <v>9139.7</v>
      </c>
    </row>
    <row r="312" spans="1:14" ht="12.75">
      <c r="A312" s="7">
        <v>35</v>
      </c>
      <c r="B312" s="5" t="s">
        <v>97</v>
      </c>
      <c r="C312" s="9">
        <f aca="true" t="shared" si="108" ref="C312:H312">C313+C314</f>
        <v>22353.5</v>
      </c>
      <c r="D312" s="9">
        <f t="shared" si="108"/>
        <v>76.81615120274915</v>
      </c>
      <c r="E312" s="9">
        <f t="shared" si="108"/>
        <v>793.6</v>
      </c>
      <c r="F312" s="9">
        <f t="shared" si="108"/>
        <v>2.727147766323024</v>
      </c>
      <c r="G312" s="9">
        <f t="shared" si="108"/>
        <v>1133.100000000001</v>
      </c>
      <c r="H312" s="9">
        <f t="shared" si="108"/>
        <v>3.893814432989694</v>
      </c>
      <c r="I312" s="28">
        <f t="shared" si="95"/>
        <v>291</v>
      </c>
      <c r="J312" s="9">
        <f>J313+J314</f>
        <v>83.43711340206185</v>
      </c>
      <c r="K312" s="74">
        <v>291</v>
      </c>
      <c r="L312" s="9">
        <f t="shared" si="103"/>
        <v>24280.2</v>
      </c>
      <c r="M312" s="19">
        <v>609.7</v>
      </c>
      <c r="N312" s="19">
        <f t="shared" si="104"/>
        <v>24889.9</v>
      </c>
    </row>
    <row r="313" spans="1:14" ht="12.75">
      <c r="A313" s="7"/>
      <c r="B313" s="5" t="s">
        <v>7</v>
      </c>
      <c r="C313" s="5">
        <v>3065.5</v>
      </c>
      <c r="D313" s="10">
        <f>C313/I313</f>
        <v>10.534364261168385</v>
      </c>
      <c r="E313" s="10">
        <v>793.6</v>
      </c>
      <c r="F313" s="54">
        <f>E313/I313</f>
        <v>2.727147766323024</v>
      </c>
      <c r="G313" s="10">
        <f>5172.5-E313-C313-M313</f>
        <v>703.6999999999996</v>
      </c>
      <c r="H313" s="10">
        <f>G313/I313</f>
        <v>2.4182130584192425</v>
      </c>
      <c r="I313" s="73">
        <f t="shared" si="95"/>
        <v>291</v>
      </c>
      <c r="J313" s="10">
        <f>(D313+F313+H313)</f>
        <v>15.679725085910652</v>
      </c>
      <c r="K313" s="17">
        <f>K312</f>
        <v>291</v>
      </c>
      <c r="L313" s="18">
        <f t="shared" si="103"/>
        <v>4562.8</v>
      </c>
      <c r="M313" s="21">
        <f>M312</f>
        <v>609.7</v>
      </c>
      <c r="N313" s="21">
        <f t="shared" si="104"/>
        <v>5172.5</v>
      </c>
    </row>
    <row r="314" spans="1:14" ht="12.75">
      <c r="A314" s="7"/>
      <c r="B314" s="5" t="s">
        <v>155</v>
      </c>
      <c r="C314" s="5">
        <v>19288</v>
      </c>
      <c r="D314" s="10">
        <f>C314/I314</f>
        <v>66.28178694158076</v>
      </c>
      <c r="E314" s="10"/>
      <c r="F314" s="10"/>
      <c r="G314" s="10">
        <f>19717.4-E314-C314-M314</f>
        <v>429.40000000000146</v>
      </c>
      <c r="H314" s="10">
        <f>G314/I314</f>
        <v>1.4756013745704517</v>
      </c>
      <c r="I314" s="73">
        <f t="shared" si="95"/>
        <v>291</v>
      </c>
      <c r="J314" s="10">
        <f>(D314+F314+H314)</f>
        <v>67.75738831615121</v>
      </c>
      <c r="K314" s="17">
        <f>K312</f>
        <v>291</v>
      </c>
      <c r="L314" s="18">
        <f t="shared" si="103"/>
        <v>19717.4</v>
      </c>
      <c r="M314" s="21"/>
      <c r="N314" s="21">
        <f t="shared" si="104"/>
        <v>19717.4</v>
      </c>
    </row>
    <row r="315" spans="1:14" ht="12.75">
      <c r="A315" s="7">
        <v>36</v>
      </c>
      <c r="B315" s="5" t="s">
        <v>98</v>
      </c>
      <c r="C315" s="9">
        <f aca="true" t="shared" si="109" ref="C315:H315">C316+C317</f>
        <v>20873.399999999998</v>
      </c>
      <c r="D315" s="9">
        <f t="shared" si="109"/>
        <v>95.31232876712328</v>
      </c>
      <c r="E315" s="9">
        <f t="shared" si="109"/>
        <v>1200.7</v>
      </c>
      <c r="F315" s="9">
        <f t="shared" si="109"/>
        <v>5.482648401826484</v>
      </c>
      <c r="G315" s="9">
        <f t="shared" si="109"/>
        <v>1022.0000000000002</v>
      </c>
      <c r="H315" s="9">
        <f t="shared" si="109"/>
        <v>4.666666666666668</v>
      </c>
      <c r="I315" s="28">
        <f t="shared" si="95"/>
        <v>219</v>
      </c>
      <c r="J315" s="9">
        <f>J316+J317</f>
        <v>105.46164383561643</v>
      </c>
      <c r="K315" s="74">
        <v>219</v>
      </c>
      <c r="L315" s="9">
        <f t="shared" si="103"/>
        <v>23096.1</v>
      </c>
      <c r="M315" s="19">
        <v>648.7</v>
      </c>
      <c r="N315" s="19">
        <f t="shared" si="104"/>
        <v>23744.8</v>
      </c>
    </row>
    <row r="316" spans="1:14" ht="12.75">
      <c r="A316" s="7"/>
      <c r="B316" s="5" t="s">
        <v>7</v>
      </c>
      <c r="C316" s="5">
        <v>3548.1</v>
      </c>
      <c r="D316" s="10">
        <f>C316/I316</f>
        <v>16.2013698630137</v>
      </c>
      <c r="E316" s="10">
        <v>1200.7</v>
      </c>
      <c r="F316" s="54">
        <f>E316/I316</f>
        <v>5.482648401826484</v>
      </c>
      <c r="G316" s="10">
        <f>6057.5-E316-C316-M316</f>
        <v>660.0000000000002</v>
      </c>
      <c r="H316" s="10">
        <f>G316/I316</f>
        <v>3.0136986301369872</v>
      </c>
      <c r="I316" s="73">
        <f t="shared" si="95"/>
        <v>219</v>
      </c>
      <c r="J316" s="10">
        <f>(D316+F316+H316)</f>
        <v>24.69771689497717</v>
      </c>
      <c r="K316" s="17">
        <f>K315</f>
        <v>219</v>
      </c>
      <c r="L316" s="18">
        <f t="shared" si="103"/>
        <v>5408.8</v>
      </c>
      <c r="M316" s="21">
        <f>M315</f>
        <v>648.7</v>
      </c>
      <c r="N316" s="21">
        <f t="shared" si="104"/>
        <v>6057.5</v>
      </c>
    </row>
    <row r="317" spans="1:14" ht="12.75">
      <c r="A317" s="7"/>
      <c r="B317" s="5" t="s">
        <v>155</v>
      </c>
      <c r="C317" s="5">
        <v>17325.3</v>
      </c>
      <c r="D317" s="10">
        <f>C317/I317</f>
        <v>79.11095890410958</v>
      </c>
      <c r="E317" s="10"/>
      <c r="F317" s="10"/>
      <c r="G317" s="10">
        <f>17687.3-E317-C317-M317</f>
        <v>362</v>
      </c>
      <c r="H317" s="10">
        <f>G317/I317</f>
        <v>1.6529680365296804</v>
      </c>
      <c r="I317" s="73">
        <f t="shared" si="95"/>
        <v>219</v>
      </c>
      <c r="J317" s="10">
        <f>(D317+F317+H317)</f>
        <v>80.76392694063927</v>
      </c>
      <c r="K317" s="17">
        <f>K315</f>
        <v>219</v>
      </c>
      <c r="L317" s="18">
        <f t="shared" si="103"/>
        <v>17687.3</v>
      </c>
      <c r="M317" s="21"/>
      <c r="N317" s="21">
        <f t="shared" si="104"/>
        <v>17687.3</v>
      </c>
    </row>
    <row r="318" spans="1:14" ht="12.75">
      <c r="A318" s="7">
        <v>37</v>
      </c>
      <c r="B318" s="5" t="s">
        <v>99</v>
      </c>
      <c r="C318" s="9">
        <f aca="true" t="shared" si="110" ref="C318:H318">C319+C320</f>
        <v>9075.5</v>
      </c>
      <c r="D318" s="9">
        <f t="shared" si="110"/>
        <v>98.64673913043478</v>
      </c>
      <c r="E318" s="9">
        <f t="shared" si="110"/>
        <v>338.4</v>
      </c>
      <c r="F318" s="9">
        <f t="shared" si="110"/>
        <v>3.678260869565217</v>
      </c>
      <c r="G318" s="9">
        <f t="shared" si="110"/>
        <v>665.3000000000004</v>
      </c>
      <c r="H318" s="9">
        <f t="shared" si="110"/>
        <v>7.2315217391304385</v>
      </c>
      <c r="I318" s="28">
        <f t="shared" si="95"/>
        <v>92</v>
      </c>
      <c r="J318" s="9">
        <f>J319+J320</f>
        <v>109.55652173913043</v>
      </c>
      <c r="K318" s="74">
        <v>92</v>
      </c>
      <c r="L318" s="9">
        <f t="shared" si="103"/>
        <v>10079.199999999999</v>
      </c>
      <c r="M318" s="19">
        <v>187.3</v>
      </c>
      <c r="N318" s="19">
        <f t="shared" si="104"/>
        <v>10266.499999999998</v>
      </c>
    </row>
    <row r="319" spans="1:14" ht="12.75">
      <c r="A319" s="7"/>
      <c r="B319" s="5" t="s">
        <v>7</v>
      </c>
      <c r="C319" s="5">
        <v>1625</v>
      </c>
      <c r="D319" s="10">
        <f>C319/I319</f>
        <v>17.66304347826087</v>
      </c>
      <c r="E319" s="10">
        <v>338.4</v>
      </c>
      <c r="F319" s="54">
        <f>E319/I319</f>
        <v>3.678260869565217</v>
      </c>
      <c r="G319" s="10">
        <f>2662.4-E319-C319-M319</f>
        <v>511.7</v>
      </c>
      <c r="H319" s="10">
        <f>G319/I319</f>
        <v>5.5619565217391305</v>
      </c>
      <c r="I319" s="73">
        <f t="shared" si="95"/>
        <v>92</v>
      </c>
      <c r="J319" s="10">
        <f>(D319+F319+H319)</f>
        <v>26.90326086956522</v>
      </c>
      <c r="K319" s="17">
        <f>K318</f>
        <v>92</v>
      </c>
      <c r="L319" s="18">
        <f t="shared" si="103"/>
        <v>2475.1000000000004</v>
      </c>
      <c r="M319" s="21">
        <f>M318</f>
        <v>187.3</v>
      </c>
      <c r="N319" s="21">
        <f t="shared" si="104"/>
        <v>2662.4000000000005</v>
      </c>
    </row>
    <row r="320" spans="1:14" ht="12.75">
      <c r="A320" s="7"/>
      <c r="B320" s="5" t="s">
        <v>155</v>
      </c>
      <c r="C320" s="5">
        <v>7450.5</v>
      </c>
      <c r="D320" s="10">
        <f>C320/I320</f>
        <v>80.9836956521739</v>
      </c>
      <c r="E320" s="10"/>
      <c r="F320" s="10"/>
      <c r="G320" s="10">
        <f>7604.1-E320-C320-M320</f>
        <v>153.60000000000036</v>
      </c>
      <c r="H320" s="10">
        <f>G320/I320</f>
        <v>1.6695652173913083</v>
      </c>
      <c r="I320" s="73">
        <f t="shared" si="95"/>
        <v>92</v>
      </c>
      <c r="J320" s="10">
        <f>(D320+F320+H320)</f>
        <v>82.65326086956522</v>
      </c>
      <c r="K320" s="17">
        <f>K318</f>
        <v>92</v>
      </c>
      <c r="L320" s="18">
        <f t="shared" si="103"/>
        <v>7604.099999999999</v>
      </c>
      <c r="M320" s="19"/>
      <c r="N320" s="21">
        <f t="shared" si="104"/>
        <v>7604.099999999999</v>
      </c>
    </row>
    <row r="321" spans="1:14" ht="12.75">
      <c r="A321" s="7">
        <v>38</v>
      </c>
      <c r="B321" s="5" t="s">
        <v>100</v>
      </c>
      <c r="C321" s="9">
        <f aca="true" t="shared" si="111" ref="C321:H321">C322+C323</f>
        <v>12628.400000000001</v>
      </c>
      <c r="D321" s="9">
        <f t="shared" si="111"/>
        <v>82.0025974025974</v>
      </c>
      <c r="E321" s="9">
        <f t="shared" si="111"/>
        <v>543.5</v>
      </c>
      <c r="F321" s="9">
        <f t="shared" si="111"/>
        <v>3.529220779220779</v>
      </c>
      <c r="G321" s="9">
        <f t="shared" si="111"/>
        <v>691.9000000000001</v>
      </c>
      <c r="H321" s="9">
        <f t="shared" si="111"/>
        <v>4.492857142857144</v>
      </c>
      <c r="I321" s="28">
        <f t="shared" si="95"/>
        <v>154</v>
      </c>
      <c r="J321" s="9">
        <f>J322+J323</f>
        <v>90.02467532467533</v>
      </c>
      <c r="K321" s="74">
        <v>154</v>
      </c>
      <c r="L321" s="9">
        <f t="shared" si="103"/>
        <v>13863.800000000001</v>
      </c>
      <c r="M321" s="19">
        <v>306.2</v>
      </c>
      <c r="N321" s="19">
        <f t="shared" si="104"/>
        <v>14170.000000000002</v>
      </c>
    </row>
    <row r="322" spans="1:14" ht="12.75">
      <c r="A322" s="7"/>
      <c r="B322" s="5" t="s">
        <v>7</v>
      </c>
      <c r="C322" s="5">
        <v>1909.7</v>
      </c>
      <c r="D322" s="10">
        <f>C322/I322</f>
        <v>12.400649350649351</v>
      </c>
      <c r="E322" s="10">
        <v>543.5</v>
      </c>
      <c r="F322" s="54">
        <f>E322/I322</f>
        <v>3.529220779220779</v>
      </c>
      <c r="G322" s="10">
        <f>3225.8-E322-C322-M322</f>
        <v>466.40000000000015</v>
      </c>
      <c r="H322" s="10">
        <f>G322/I322</f>
        <v>3.0285714285714294</v>
      </c>
      <c r="I322" s="73">
        <f t="shared" si="95"/>
        <v>154</v>
      </c>
      <c r="J322" s="10">
        <f>(D322+F322+H322)</f>
        <v>18.95844155844156</v>
      </c>
      <c r="K322" s="17">
        <f>K321</f>
        <v>154</v>
      </c>
      <c r="L322" s="18">
        <f t="shared" si="103"/>
        <v>2919.6000000000004</v>
      </c>
      <c r="M322" s="21">
        <f>M321</f>
        <v>306.2</v>
      </c>
      <c r="N322" s="21">
        <f t="shared" si="104"/>
        <v>3225.8</v>
      </c>
    </row>
    <row r="323" spans="1:14" ht="12.75">
      <c r="A323" s="7"/>
      <c r="B323" s="5" t="s">
        <v>155</v>
      </c>
      <c r="C323" s="5">
        <v>10718.7</v>
      </c>
      <c r="D323" s="10">
        <f>C323/I323</f>
        <v>69.60194805194806</v>
      </c>
      <c r="E323" s="10"/>
      <c r="F323" s="10"/>
      <c r="G323" s="10">
        <f>10944.2-E323-C323-M323</f>
        <v>225.5</v>
      </c>
      <c r="H323" s="10">
        <f>G323/I323</f>
        <v>1.4642857142857142</v>
      </c>
      <c r="I323" s="73">
        <f t="shared" si="95"/>
        <v>154</v>
      </c>
      <c r="J323" s="10">
        <f>(D323+F323+H323)</f>
        <v>71.06623376623376</v>
      </c>
      <c r="K323" s="17">
        <f>K321</f>
        <v>154</v>
      </c>
      <c r="L323" s="18">
        <f t="shared" si="103"/>
        <v>10944.199999999999</v>
      </c>
      <c r="M323" s="21"/>
      <c r="N323" s="21">
        <f t="shared" si="104"/>
        <v>10944.199999999999</v>
      </c>
    </row>
    <row r="324" spans="1:14" ht="12.75">
      <c r="A324" s="7">
        <v>39</v>
      </c>
      <c r="B324" s="5" t="s">
        <v>101</v>
      </c>
      <c r="C324" s="9">
        <f aca="true" t="shared" si="112" ref="C324:H324">C325+C326</f>
        <v>12760.2</v>
      </c>
      <c r="D324" s="9">
        <f t="shared" si="112"/>
        <v>91.8</v>
      </c>
      <c r="E324" s="9">
        <f t="shared" si="112"/>
        <v>526</v>
      </c>
      <c r="F324" s="9">
        <f t="shared" si="112"/>
        <v>3.7841726618705036</v>
      </c>
      <c r="G324" s="9">
        <f t="shared" si="112"/>
        <v>670.2000000000005</v>
      </c>
      <c r="H324" s="9">
        <f t="shared" si="112"/>
        <v>4.821582733812953</v>
      </c>
      <c r="I324" s="28">
        <f t="shared" si="95"/>
        <v>139</v>
      </c>
      <c r="J324" s="9">
        <f>J325+J326</f>
        <v>100.40575539568346</v>
      </c>
      <c r="K324" s="74">
        <v>139</v>
      </c>
      <c r="L324" s="9">
        <f t="shared" si="103"/>
        <v>13956.4</v>
      </c>
      <c r="M324" s="19">
        <v>366.3</v>
      </c>
      <c r="N324" s="19">
        <f t="shared" si="104"/>
        <v>14322.699999999999</v>
      </c>
    </row>
    <row r="325" spans="1:14" ht="12.75">
      <c r="A325" s="7"/>
      <c r="B325" s="5" t="s">
        <v>7</v>
      </c>
      <c r="C325" s="5">
        <f>2026.4+114.3</f>
        <v>2140.7000000000003</v>
      </c>
      <c r="D325" s="10">
        <f>C325/I325</f>
        <v>15.400719424460434</v>
      </c>
      <c r="E325" s="10">
        <v>526</v>
      </c>
      <c r="F325" s="54">
        <f>E325/I325</f>
        <v>3.7841726618705036</v>
      </c>
      <c r="G325" s="10">
        <f>3366.3+114.3-E325-C325-M325</f>
        <v>447.6000000000001</v>
      </c>
      <c r="H325" s="10">
        <f>G325/I325</f>
        <v>3.220143884892087</v>
      </c>
      <c r="I325" s="73">
        <f t="shared" si="95"/>
        <v>139</v>
      </c>
      <c r="J325" s="10">
        <f>(D325+F325+H325)</f>
        <v>22.405035971223022</v>
      </c>
      <c r="K325" s="17">
        <f>K324</f>
        <v>139</v>
      </c>
      <c r="L325" s="18">
        <f t="shared" si="103"/>
        <v>3114.3</v>
      </c>
      <c r="M325" s="21">
        <f>M324</f>
        <v>366.3</v>
      </c>
      <c r="N325" s="21">
        <f t="shared" si="104"/>
        <v>3480.6000000000004</v>
      </c>
    </row>
    <row r="326" spans="1:14" ht="12.75">
      <c r="A326" s="7"/>
      <c r="B326" s="5" t="s">
        <v>155</v>
      </c>
      <c r="C326" s="5">
        <f>10619.1+0.4</f>
        <v>10619.5</v>
      </c>
      <c r="D326" s="10">
        <f>C326/I326</f>
        <v>76.39928057553956</v>
      </c>
      <c r="E326" s="10"/>
      <c r="F326" s="10"/>
      <c r="G326" s="10">
        <f>10841.7+0.4-E326-C326-M326</f>
        <v>222.60000000000036</v>
      </c>
      <c r="H326" s="10">
        <f>G326/I326</f>
        <v>1.601438848920866</v>
      </c>
      <c r="I326" s="73">
        <f t="shared" si="95"/>
        <v>139</v>
      </c>
      <c r="J326" s="10">
        <f>(D326+F326+H326)</f>
        <v>78.00071942446043</v>
      </c>
      <c r="K326" s="17">
        <f>K324</f>
        <v>139</v>
      </c>
      <c r="L326" s="18">
        <f t="shared" si="103"/>
        <v>10842.1</v>
      </c>
      <c r="M326" s="21"/>
      <c r="N326" s="21">
        <f t="shared" si="104"/>
        <v>10842.1</v>
      </c>
    </row>
    <row r="327" spans="1:14" ht="12.75">
      <c r="A327" s="7">
        <v>40</v>
      </c>
      <c r="B327" s="5" t="s">
        <v>102</v>
      </c>
      <c r="C327" s="9">
        <f aca="true" t="shared" si="113" ref="C327:H327">C328+C329</f>
        <v>7908</v>
      </c>
      <c r="D327" s="9">
        <f t="shared" si="113"/>
        <v>89.86363636363636</v>
      </c>
      <c r="E327" s="9">
        <f t="shared" si="113"/>
        <v>349.1</v>
      </c>
      <c r="F327" s="9">
        <f t="shared" si="113"/>
        <v>3.9670454545454548</v>
      </c>
      <c r="G327" s="9">
        <f t="shared" si="113"/>
        <v>444.7000000000006</v>
      </c>
      <c r="H327" s="9">
        <f t="shared" si="113"/>
        <v>5.053409090909098</v>
      </c>
      <c r="I327" s="28">
        <f t="shared" si="95"/>
        <v>88</v>
      </c>
      <c r="J327" s="9">
        <f>J328+J329</f>
        <v>98.88409090909093</v>
      </c>
      <c r="K327" s="74">
        <v>88</v>
      </c>
      <c r="L327" s="9">
        <f t="shared" si="103"/>
        <v>8701.800000000001</v>
      </c>
      <c r="M327" s="19">
        <v>223.6</v>
      </c>
      <c r="N327" s="19">
        <f t="shared" si="104"/>
        <v>8925.400000000001</v>
      </c>
    </row>
    <row r="328" spans="1:14" ht="12.75">
      <c r="A328" s="7"/>
      <c r="B328" s="5" t="s">
        <v>7</v>
      </c>
      <c r="C328" s="5">
        <v>1660</v>
      </c>
      <c r="D328" s="10">
        <f>C328/I328</f>
        <v>18.863636363636363</v>
      </c>
      <c r="E328" s="10">
        <v>349.1</v>
      </c>
      <c r="F328" s="54">
        <f>E328/I328</f>
        <v>3.9670454545454548</v>
      </c>
      <c r="G328" s="10">
        <f>2540.8-E328-C328-M328</f>
        <v>308.10000000000025</v>
      </c>
      <c r="H328" s="10">
        <f>G328/I328</f>
        <v>3.5011363636363666</v>
      </c>
      <c r="I328" s="73">
        <f t="shared" si="95"/>
        <v>88</v>
      </c>
      <c r="J328" s="10">
        <f>(D328+F328+H328)</f>
        <v>26.331818181818186</v>
      </c>
      <c r="K328" s="17">
        <f>K327</f>
        <v>88</v>
      </c>
      <c r="L328" s="18">
        <f t="shared" si="103"/>
        <v>2317.2000000000003</v>
      </c>
      <c r="M328" s="21">
        <f>M327</f>
        <v>223.6</v>
      </c>
      <c r="N328" s="21">
        <f t="shared" si="104"/>
        <v>2540.8</v>
      </c>
    </row>
    <row r="329" spans="1:14" ht="12.75">
      <c r="A329" s="7"/>
      <c r="B329" s="5" t="s">
        <v>155</v>
      </c>
      <c r="C329" s="5">
        <v>6248</v>
      </c>
      <c r="D329" s="10">
        <f>C329/I329</f>
        <v>71</v>
      </c>
      <c r="E329" s="10"/>
      <c r="F329" s="10"/>
      <c r="G329" s="10">
        <f>6384.6-E329-C329-M329</f>
        <v>136.60000000000036</v>
      </c>
      <c r="H329" s="10">
        <f>G329/I329</f>
        <v>1.5522727272727315</v>
      </c>
      <c r="I329" s="73">
        <f t="shared" si="95"/>
        <v>88</v>
      </c>
      <c r="J329" s="10">
        <f>(D329+F329+H329)</f>
        <v>72.55227272727274</v>
      </c>
      <c r="K329" s="17">
        <f>K327</f>
        <v>88</v>
      </c>
      <c r="L329" s="18">
        <f t="shared" si="103"/>
        <v>6384.6</v>
      </c>
      <c r="M329" s="21"/>
      <c r="N329" s="21">
        <f t="shared" si="104"/>
        <v>6384.6</v>
      </c>
    </row>
    <row r="330" spans="1:14" ht="12.75">
      <c r="A330" s="7">
        <v>41</v>
      </c>
      <c r="B330" s="5" t="s">
        <v>103</v>
      </c>
      <c r="C330" s="9">
        <f aca="true" t="shared" si="114" ref="C330:H330">C331+C332</f>
        <v>12117.9</v>
      </c>
      <c r="D330" s="9">
        <f t="shared" si="114"/>
        <v>119.97920792079208</v>
      </c>
      <c r="E330" s="9">
        <f t="shared" si="114"/>
        <v>387.1</v>
      </c>
      <c r="F330" s="9">
        <f t="shared" si="114"/>
        <v>3.832673267326733</v>
      </c>
      <c r="G330" s="9">
        <f t="shared" si="114"/>
        <v>629.8999999999996</v>
      </c>
      <c r="H330" s="9">
        <f t="shared" si="114"/>
        <v>6.236633663366334</v>
      </c>
      <c r="I330" s="28">
        <f t="shared" si="95"/>
        <v>101</v>
      </c>
      <c r="J330" s="9">
        <f>J331+J332</f>
        <v>130.04851485148515</v>
      </c>
      <c r="K330" s="74">
        <v>101</v>
      </c>
      <c r="L330" s="9">
        <f t="shared" si="103"/>
        <v>13134.9</v>
      </c>
      <c r="M330" s="19">
        <v>454.7</v>
      </c>
      <c r="N330" s="19">
        <f t="shared" si="104"/>
        <v>13589.6</v>
      </c>
    </row>
    <row r="331" spans="1:14" ht="12.75">
      <c r="A331" s="7"/>
      <c r="B331" s="5" t="s">
        <v>7</v>
      </c>
      <c r="C331" s="5">
        <v>1658.8</v>
      </c>
      <c r="D331" s="10">
        <f>C331/I331</f>
        <v>16.423762376237622</v>
      </c>
      <c r="E331" s="10">
        <v>387.1</v>
      </c>
      <c r="F331" s="54">
        <f>E331/I331</f>
        <v>3.832673267326733</v>
      </c>
      <c r="G331" s="10">
        <f>2981.6-E331-C331-M331</f>
        <v>481.00000000000006</v>
      </c>
      <c r="H331" s="10">
        <f>G331/I331</f>
        <v>4.762376237623763</v>
      </c>
      <c r="I331" s="73">
        <f t="shared" si="95"/>
        <v>101</v>
      </c>
      <c r="J331" s="10">
        <f>(D331+F331+H331)</f>
        <v>25.018811881188117</v>
      </c>
      <c r="K331" s="17">
        <f>K330</f>
        <v>101</v>
      </c>
      <c r="L331" s="18">
        <f t="shared" si="103"/>
        <v>2526.9</v>
      </c>
      <c r="M331" s="21">
        <f>M330</f>
        <v>454.7</v>
      </c>
      <c r="N331" s="21">
        <f t="shared" si="104"/>
        <v>2981.6</v>
      </c>
    </row>
    <row r="332" spans="1:14" ht="12.75">
      <c r="A332" s="7"/>
      <c r="B332" s="5" t="s">
        <v>155</v>
      </c>
      <c r="C332" s="5">
        <v>10459.1</v>
      </c>
      <c r="D332" s="10">
        <f>C332/I332</f>
        <v>103.55544554455446</v>
      </c>
      <c r="E332" s="10"/>
      <c r="F332" s="10"/>
      <c r="G332" s="10">
        <f>10608-E332-C332-M332</f>
        <v>148.89999999999964</v>
      </c>
      <c r="H332" s="10">
        <f>G332/I332</f>
        <v>1.4742574257425707</v>
      </c>
      <c r="I332" s="73">
        <f t="shared" si="95"/>
        <v>101</v>
      </c>
      <c r="J332" s="10">
        <f>(D332+F332+H332)</f>
        <v>105.02970297029702</v>
      </c>
      <c r="K332" s="17">
        <f>K330</f>
        <v>101</v>
      </c>
      <c r="L332" s="18">
        <f t="shared" si="103"/>
        <v>10608</v>
      </c>
      <c r="M332" s="21"/>
      <c r="N332" s="21">
        <f t="shared" si="104"/>
        <v>10608</v>
      </c>
    </row>
    <row r="333" spans="1:14" ht="12.75">
      <c r="A333" s="7">
        <v>42</v>
      </c>
      <c r="B333" s="5" t="s">
        <v>104</v>
      </c>
      <c r="C333" s="9">
        <f aca="true" t="shared" si="115" ref="C333:H333">C334+C335</f>
        <v>3095.8</v>
      </c>
      <c r="D333" s="9">
        <f t="shared" si="115"/>
        <v>162.93684210526317</v>
      </c>
      <c r="E333" s="9">
        <f t="shared" si="115"/>
        <v>223</v>
      </c>
      <c r="F333" s="9">
        <f t="shared" si="115"/>
        <v>11.736842105263158</v>
      </c>
      <c r="G333" s="9">
        <f t="shared" si="115"/>
        <v>299.5000000000001</v>
      </c>
      <c r="H333" s="9">
        <f t="shared" si="115"/>
        <v>15.76315789473685</v>
      </c>
      <c r="I333" s="28">
        <f t="shared" si="95"/>
        <v>19</v>
      </c>
      <c r="J333" s="9">
        <f>J334+J335</f>
        <v>190.43684210526317</v>
      </c>
      <c r="K333" s="74">
        <v>19</v>
      </c>
      <c r="L333" s="9">
        <f t="shared" si="103"/>
        <v>3618.3</v>
      </c>
      <c r="M333" s="19">
        <v>12.1</v>
      </c>
      <c r="N333" s="19">
        <f t="shared" si="104"/>
        <v>3630.4</v>
      </c>
    </row>
    <row r="334" spans="1:14" ht="12.75">
      <c r="A334" s="7"/>
      <c r="B334" s="5" t="s">
        <v>7</v>
      </c>
      <c r="C334" s="5">
        <v>1061.3</v>
      </c>
      <c r="D334" s="10">
        <f>C334/I334</f>
        <v>55.857894736842105</v>
      </c>
      <c r="E334" s="10">
        <v>223</v>
      </c>
      <c r="F334" s="54">
        <f>E334/I334</f>
        <v>11.736842105263158</v>
      </c>
      <c r="G334" s="10">
        <f>1558.6-E334-C334-M334</f>
        <v>262.19999999999993</v>
      </c>
      <c r="H334" s="10">
        <f>G334/I334</f>
        <v>13.799999999999997</v>
      </c>
      <c r="I334" s="73">
        <f t="shared" si="95"/>
        <v>19</v>
      </c>
      <c r="J334" s="10">
        <f>(D334+F334+H334)</f>
        <v>81.39473684210526</v>
      </c>
      <c r="K334" s="17">
        <f>K333</f>
        <v>19</v>
      </c>
      <c r="L334" s="18">
        <f t="shared" si="103"/>
        <v>1546.5</v>
      </c>
      <c r="M334" s="21">
        <f>M333</f>
        <v>12.1</v>
      </c>
      <c r="N334" s="21">
        <f t="shared" si="104"/>
        <v>1558.6</v>
      </c>
    </row>
    <row r="335" spans="1:14" ht="12.75">
      <c r="A335" s="7"/>
      <c r="B335" s="5" t="s">
        <v>155</v>
      </c>
      <c r="C335" s="5">
        <v>2034.5</v>
      </c>
      <c r="D335" s="10">
        <f>C335/I335</f>
        <v>107.07894736842105</v>
      </c>
      <c r="E335" s="10"/>
      <c r="F335" s="10"/>
      <c r="G335" s="10">
        <f>2071.8-E335-C335-M335</f>
        <v>37.30000000000018</v>
      </c>
      <c r="H335" s="10">
        <f>G335/I335</f>
        <v>1.9631578947368518</v>
      </c>
      <c r="I335" s="73">
        <f t="shared" si="95"/>
        <v>19</v>
      </c>
      <c r="J335" s="10">
        <f>(D335+F335+H335)</f>
        <v>109.04210526315791</v>
      </c>
      <c r="K335" s="17">
        <f>K333</f>
        <v>19</v>
      </c>
      <c r="L335" s="18">
        <f t="shared" si="103"/>
        <v>2071.8</v>
      </c>
      <c r="M335" s="19"/>
      <c r="N335" s="21">
        <f t="shared" si="104"/>
        <v>2071.8</v>
      </c>
    </row>
    <row r="336" spans="1:14" ht="12.75">
      <c r="A336" s="7">
        <v>43</v>
      </c>
      <c r="B336" s="5" t="s">
        <v>105</v>
      </c>
      <c r="C336" s="9">
        <f aca="true" t="shared" si="116" ref="C336:H336">C337+C338</f>
        <v>7697.2</v>
      </c>
      <c r="D336" s="9">
        <f t="shared" si="116"/>
        <v>116.62424242424242</v>
      </c>
      <c r="E336" s="9">
        <f t="shared" si="116"/>
        <v>359.5</v>
      </c>
      <c r="F336" s="9">
        <f t="shared" si="116"/>
        <v>5.446969696969697</v>
      </c>
      <c r="G336" s="9">
        <f t="shared" si="116"/>
        <v>385.80000000000075</v>
      </c>
      <c r="H336" s="9">
        <f t="shared" si="116"/>
        <v>5.845454545454556</v>
      </c>
      <c r="I336" s="28">
        <f t="shared" si="95"/>
        <v>66</v>
      </c>
      <c r="J336" s="9">
        <f>J337+J338</f>
        <v>127.91666666666669</v>
      </c>
      <c r="K336" s="74">
        <v>66</v>
      </c>
      <c r="L336" s="9">
        <f t="shared" si="103"/>
        <v>8442.500000000002</v>
      </c>
      <c r="M336" s="19">
        <v>309.1</v>
      </c>
      <c r="N336" s="19">
        <f t="shared" si="104"/>
        <v>8751.600000000002</v>
      </c>
    </row>
    <row r="337" spans="1:14" ht="12.75">
      <c r="A337" s="7"/>
      <c r="B337" s="5" t="s">
        <v>7</v>
      </c>
      <c r="C337" s="5">
        <v>1483.8</v>
      </c>
      <c r="D337" s="10">
        <f>C337/I337</f>
        <v>22.48181818181818</v>
      </c>
      <c r="E337" s="10">
        <v>359.5</v>
      </c>
      <c r="F337" s="54">
        <f>E337/I337</f>
        <v>5.446969696969697</v>
      </c>
      <c r="G337" s="10">
        <f>2442.3-E337-C337-M337</f>
        <v>289.9000000000002</v>
      </c>
      <c r="H337" s="10">
        <f>G337/I337</f>
        <v>4.392424242424245</v>
      </c>
      <c r="I337" s="73">
        <f t="shared" si="95"/>
        <v>66</v>
      </c>
      <c r="J337" s="10">
        <f>(D337+F337+H337)</f>
        <v>32.32121212121213</v>
      </c>
      <c r="K337" s="17">
        <f>K336</f>
        <v>66</v>
      </c>
      <c r="L337" s="18">
        <f t="shared" si="103"/>
        <v>2133.2000000000003</v>
      </c>
      <c r="M337" s="21">
        <f>M336</f>
        <v>309.1</v>
      </c>
      <c r="N337" s="21">
        <f t="shared" si="104"/>
        <v>2442.3</v>
      </c>
    </row>
    <row r="338" spans="1:14" ht="12.75">
      <c r="A338" s="7"/>
      <c r="B338" s="5" t="s">
        <v>155</v>
      </c>
      <c r="C338" s="5">
        <v>6213.4</v>
      </c>
      <c r="D338" s="10">
        <f>C338/I338</f>
        <v>94.14242424242424</v>
      </c>
      <c r="E338" s="10"/>
      <c r="F338" s="10"/>
      <c r="G338" s="10">
        <f>6309.3-E338-C338-M338</f>
        <v>95.90000000000055</v>
      </c>
      <c r="H338" s="10">
        <f>G338/I338</f>
        <v>1.4530303030303113</v>
      </c>
      <c r="I338" s="73">
        <f t="shared" si="95"/>
        <v>66</v>
      </c>
      <c r="J338" s="10">
        <f>(D338+F338+H338)</f>
        <v>95.59545454545456</v>
      </c>
      <c r="K338" s="17">
        <f>K336</f>
        <v>66</v>
      </c>
      <c r="L338" s="18">
        <f t="shared" si="103"/>
        <v>6309.300000000001</v>
      </c>
      <c r="M338" s="21"/>
      <c r="N338" s="21">
        <f t="shared" si="104"/>
        <v>6309.300000000001</v>
      </c>
    </row>
    <row r="339" spans="1:14" ht="12.75">
      <c r="A339" s="7">
        <v>44</v>
      </c>
      <c r="B339" s="5" t="s">
        <v>106</v>
      </c>
      <c r="C339" s="9">
        <f aca="true" t="shared" si="117" ref="C339:H339">C340+C341</f>
        <v>7184.700000000001</v>
      </c>
      <c r="D339" s="9">
        <f t="shared" si="117"/>
        <v>140.8764705882353</v>
      </c>
      <c r="E339" s="9">
        <f t="shared" si="117"/>
        <v>269.5</v>
      </c>
      <c r="F339" s="9">
        <f t="shared" si="117"/>
        <v>5.284313725490196</v>
      </c>
      <c r="G339" s="9">
        <f t="shared" si="117"/>
        <v>435</v>
      </c>
      <c r="H339" s="9">
        <f t="shared" si="117"/>
        <v>8.529411764705882</v>
      </c>
      <c r="I339" s="28">
        <f t="shared" si="95"/>
        <v>51</v>
      </c>
      <c r="J339" s="9">
        <f>J340+J341</f>
        <v>154.69019607843137</v>
      </c>
      <c r="K339" s="74">
        <v>51</v>
      </c>
      <c r="L339" s="9">
        <f t="shared" si="103"/>
        <v>7889.2</v>
      </c>
      <c r="M339" s="19">
        <v>213</v>
      </c>
      <c r="N339" s="19">
        <f t="shared" si="104"/>
        <v>8102.2</v>
      </c>
    </row>
    <row r="340" spans="1:16" ht="12.75">
      <c r="A340" s="7"/>
      <c r="B340" s="5" t="s">
        <v>7</v>
      </c>
      <c r="C340" s="5">
        <v>1482.6</v>
      </c>
      <c r="D340" s="10">
        <f>C340/I340</f>
        <v>29.070588235294117</v>
      </c>
      <c r="E340" s="10">
        <v>269.5</v>
      </c>
      <c r="F340" s="54">
        <f>E340/I340</f>
        <v>5.284313725490196</v>
      </c>
      <c r="G340" s="10">
        <f>2319.4-E340-C340-M340</f>
        <v>354.3000000000002</v>
      </c>
      <c r="H340" s="10">
        <f>G340/I340</f>
        <v>6.9470588235294155</v>
      </c>
      <c r="I340" s="73">
        <f t="shared" si="95"/>
        <v>51</v>
      </c>
      <c r="J340" s="10">
        <f>(D340+F340+H340)</f>
        <v>41.30196078431373</v>
      </c>
      <c r="K340" s="17">
        <f>K339</f>
        <v>51</v>
      </c>
      <c r="L340" s="18">
        <f t="shared" si="103"/>
        <v>2106.4</v>
      </c>
      <c r="M340" s="21">
        <f>M339</f>
        <v>213</v>
      </c>
      <c r="N340" s="21">
        <f t="shared" si="104"/>
        <v>2319.4</v>
      </c>
      <c r="P340" t="s">
        <v>292</v>
      </c>
    </row>
    <row r="341" spans="1:14" ht="12.75">
      <c r="A341" s="7"/>
      <c r="B341" s="5" t="s">
        <v>155</v>
      </c>
      <c r="C341" s="5">
        <v>5702.1</v>
      </c>
      <c r="D341" s="10">
        <f>C341/I341</f>
        <v>111.80588235294118</v>
      </c>
      <c r="E341" s="10"/>
      <c r="F341" s="10"/>
      <c r="G341" s="10">
        <f>5782.8-E341-C341-M341</f>
        <v>80.69999999999982</v>
      </c>
      <c r="H341" s="10">
        <f>G341/I341</f>
        <v>1.582352941176467</v>
      </c>
      <c r="I341" s="73">
        <f t="shared" si="95"/>
        <v>51</v>
      </c>
      <c r="J341" s="10">
        <f>(D341+F341+H341)</f>
        <v>113.38823529411765</v>
      </c>
      <c r="K341" s="17">
        <f>K339</f>
        <v>51</v>
      </c>
      <c r="L341" s="18">
        <f t="shared" si="103"/>
        <v>5782.8</v>
      </c>
      <c r="M341" s="21"/>
      <c r="N341" s="21">
        <f t="shared" si="104"/>
        <v>5782.8</v>
      </c>
    </row>
    <row r="342" spans="1:14" ht="12.75">
      <c r="A342" s="7">
        <v>45</v>
      </c>
      <c r="B342" s="5" t="s">
        <v>107</v>
      </c>
      <c r="C342" s="9">
        <f aca="true" t="shared" si="118" ref="C342:H342">C343+C344</f>
        <v>7632.1</v>
      </c>
      <c r="D342" s="9">
        <f t="shared" si="118"/>
        <v>127.20166666666668</v>
      </c>
      <c r="E342" s="9">
        <f t="shared" si="118"/>
        <v>282</v>
      </c>
      <c r="F342" s="9">
        <f t="shared" si="118"/>
        <v>4.7</v>
      </c>
      <c r="G342" s="9">
        <f t="shared" si="118"/>
        <v>595.1999999999995</v>
      </c>
      <c r="H342" s="9">
        <f t="shared" si="118"/>
        <v>9.919999999999991</v>
      </c>
      <c r="I342" s="28">
        <f t="shared" si="95"/>
        <v>60</v>
      </c>
      <c r="J342" s="9">
        <f>J343+J344</f>
        <v>141.82166666666666</v>
      </c>
      <c r="K342" s="74">
        <v>60</v>
      </c>
      <c r="L342" s="9">
        <f t="shared" si="103"/>
        <v>8509.3</v>
      </c>
      <c r="M342" s="19">
        <v>313.4</v>
      </c>
      <c r="N342" s="19">
        <f t="shared" si="104"/>
        <v>8822.699999999999</v>
      </c>
    </row>
    <row r="343" spans="1:14" ht="12.75">
      <c r="A343" s="7"/>
      <c r="B343" s="5" t="s">
        <v>7</v>
      </c>
      <c r="C343" s="5">
        <v>1656</v>
      </c>
      <c r="D343" s="10">
        <f>C343/I343</f>
        <v>27.6</v>
      </c>
      <c r="E343" s="10">
        <v>282</v>
      </c>
      <c r="F343" s="54">
        <f>E343/I343</f>
        <v>4.7</v>
      </c>
      <c r="G343" s="10">
        <f>2746.3-E343-C343-M343</f>
        <v>494.9000000000002</v>
      </c>
      <c r="H343" s="10">
        <f>G343/I343</f>
        <v>8.248333333333337</v>
      </c>
      <c r="I343" s="73">
        <f t="shared" si="95"/>
        <v>60</v>
      </c>
      <c r="J343" s="10">
        <f>(D343+F343+H343)</f>
        <v>40.54833333333334</v>
      </c>
      <c r="K343" s="17">
        <f>K342</f>
        <v>60</v>
      </c>
      <c r="L343" s="18">
        <f t="shared" si="103"/>
        <v>2432.9000000000005</v>
      </c>
      <c r="M343" s="21">
        <f>M342</f>
        <v>313.4</v>
      </c>
      <c r="N343" s="21">
        <f t="shared" si="104"/>
        <v>2746.3000000000006</v>
      </c>
    </row>
    <row r="344" spans="1:14" ht="12.75">
      <c r="A344" s="7"/>
      <c r="B344" s="5" t="s">
        <v>155</v>
      </c>
      <c r="C344" s="5">
        <v>5976.1</v>
      </c>
      <c r="D344" s="10">
        <f>C344/I344</f>
        <v>99.60166666666667</v>
      </c>
      <c r="E344" s="10"/>
      <c r="F344" s="10"/>
      <c r="G344" s="10">
        <f>6076.4-E344-C344-M344</f>
        <v>100.29999999999927</v>
      </c>
      <c r="H344" s="10">
        <f>G344/I344</f>
        <v>1.6716666666666546</v>
      </c>
      <c r="I344" s="73">
        <f t="shared" si="95"/>
        <v>60</v>
      </c>
      <c r="J344" s="10">
        <f>(D344+F344+H344)</f>
        <v>101.27333333333333</v>
      </c>
      <c r="K344" s="17">
        <f>K342</f>
        <v>60</v>
      </c>
      <c r="L344" s="18">
        <f t="shared" si="103"/>
        <v>6076.4</v>
      </c>
      <c r="M344" s="21"/>
      <c r="N344" s="21">
        <f t="shared" si="104"/>
        <v>6076.4</v>
      </c>
    </row>
    <row r="345" spans="1:14" ht="12.75">
      <c r="A345" s="7">
        <v>46</v>
      </c>
      <c r="B345" s="5" t="s">
        <v>108</v>
      </c>
      <c r="C345" s="9">
        <f aca="true" t="shared" si="119" ref="C345:H345">C346+C347</f>
        <v>8294.1</v>
      </c>
      <c r="D345" s="9">
        <f t="shared" si="119"/>
        <v>104.9886075949367</v>
      </c>
      <c r="E345" s="9">
        <f t="shared" si="119"/>
        <v>347.9</v>
      </c>
      <c r="F345" s="9">
        <f t="shared" si="119"/>
        <v>4.40379746835443</v>
      </c>
      <c r="G345" s="9">
        <f t="shared" si="119"/>
        <v>416.6000000000001</v>
      </c>
      <c r="H345" s="9">
        <f t="shared" si="119"/>
        <v>5.273417721518989</v>
      </c>
      <c r="I345" s="28">
        <f aca="true" t="shared" si="120" ref="I345:I408">K345</f>
        <v>79</v>
      </c>
      <c r="J345" s="9">
        <f>J346+J347</f>
        <v>114.66582278481013</v>
      </c>
      <c r="K345" s="74">
        <v>79</v>
      </c>
      <c r="L345" s="9">
        <f t="shared" si="103"/>
        <v>9058.6</v>
      </c>
      <c r="M345" s="19">
        <v>199.3</v>
      </c>
      <c r="N345" s="19">
        <f t="shared" si="104"/>
        <v>9257.9</v>
      </c>
    </row>
    <row r="346" spans="1:14" ht="12.75">
      <c r="A346" s="7"/>
      <c r="B346" s="5" t="s">
        <v>7</v>
      </c>
      <c r="C346" s="5">
        <v>1851.6</v>
      </c>
      <c r="D346" s="10">
        <f>C346/I346</f>
        <v>23.437974683544304</v>
      </c>
      <c r="E346" s="10">
        <v>347.9</v>
      </c>
      <c r="F346" s="54">
        <f>E346/I346</f>
        <v>4.40379746835443</v>
      </c>
      <c r="G346" s="10">
        <f>2683.1-E346-C346-M346</f>
        <v>284.2999999999999</v>
      </c>
      <c r="H346" s="10">
        <f>G346/I346</f>
        <v>3.5987341772151886</v>
      </c>
      <c r="I346" s="73">
        <f t="shared" si="120"/>
        <v>79</v>
      </c>
      <c r="J346" s="10">
        <f>(D346+F346+H346)</f>
        <v>31.440506329113923</v>
      </c>
      <c r="K346" s="17">
        <f>K345</f>
        <v>79</v>
      </c>
      <c r="L346" s="18">
        <f t="shared" si="103"/>
        <v>2483.7999999999997</v>
      </c>
      <c r="M346" s="21">
        <f>M345</f>
        <v>199.3</v>
      </c>
      <c r="N346" s="21">
        <f t="shared" si="104"/>
        <v>2683.1</v>
      </c>
    </row>
    <row r="347" spans="1:14" ht="12.75">
      <c r="A347" s="7"/>
      <c r="B347" s="5" t="s">
        <v>155</v>
      </c>
      <c r="C347" s="5">
        <v>6442.5</v>
      </c>
      <c r="D347" s="10">
        <f>C347/I347</f>
        <v>81.5506329113924</v>
      </c>
      <c r="E347" s="10"/>
      <c r="F347" s="10"/>
      <c r="G347" s="10">
        <f>6574.8-E347-C347-M347</f>
        <v>132.30000000000018</v>
      </c>
      <c r="H347" s="10">
        <f>G347/I347</f>
        <v>1.6746835443037997</v>
      </c>
      <c r="I347" s="73">
        <f t="shared" si="120"/>
        <v>79</v>
      </c>
      <c r="J347" s="10">
        <f>(D347+F347+H347)</f>
        <v>83.2253164556962</v>
      </c>
      <c r="K347" s="17">
        <f>K345</f>
        <v>79</v>
      </c>
      <c r="L347" s="18">
        <f t="shared" si="103"/>
        <v>6574.8</v>
      </c>
      <c r="M347" s="21"/>
      <c r="N347" s="21">
        <f t="shared" si="104"/>
        <v>6574.8</v>
      </c>
    </row>
    <row r="348" spans="1:14" ht="12.75">
      <c r="A348" s="7">
        <v>47</v>
      </c>
      <c r="B348" s="5" t="s">
        <v>109</v>
      </c>
      <c r="C348" s="9">
        <f aca="true" t="shared" si="121" ref="C348:H348">C349+C350</f>
        <v>3178.2</v>
      </c>
      <c r="D348" s="9">
        <f t="shared" si="121"/>
        <v>138.18260869565216</v>
      </c>
      <c r="E348" s="9">
        <f t="shared" si="121"/>
        <v>114.5</v>
      </c>
      <c r="F348" s="9">
        <f t="shared" si="121"/>
        <v>4.978260869565218</v>
      </c>
      <c r="G348" s="9">
        <f t="shared" si="121"/>
        <v>283.1999999999998</v>
      </c>
      <c r="H348" s="9">
        <f t="shared" si="121"/>
        <v>12.31304347826086</v>
      </c>
      <c r="I348" s="28">
        <f t="shared" si="120"/>
        <v>23</v>
      </c>
      <c r="J348" s="9">
        <f>J349+J350</f>
        <v>155.47391304347826</v>
      </c>
      <c r="K348" s="74">
        <v>23</v>
      </c>
      <c r="L348" s="9">
        <f t="shared" si="103"/>
        <v>3575.9</v>
      </c>
      <c r="M348" s="19">
        <v>104</v>
      </c>
      <c r="N348" s="19">
        <f t="shared" si="104"/>
        <v>3679.9</v>
      </c>
    </row>
    <row r="349" spans="1:14" ht="12.75">
      <c r="A349" s="7"/>
      <c r="B349" s="5" t="s">
        <v>7</v>
      </c>
      <c r="C349" s="5">
        <v>967.8</v>
      </c>
      <c r="D349" s="10">
        <f>C349/I349</f>
        <v>42.07826086956521</v>
      </c>
      <c r="E349" s="10">
        <v>114.5</v>
      </c>
      <c r="F349" s="54">
        <f>E349/I349</f>
        <v>4.978260869565218</v>
      </c>
      <c r="G349" s="10">
        <f>1432.2-E349-C349-M349</f>
        <v>245.9000000000001</v>
      </c>
      <c r="H349" s="10">
        <f>G349/I349</f>
        <v>10.69130434782609</v>
      </c>
      <c r="I349" s="73">
        <f t="shared" si="120"/>
        <v>23</v>
      </c>
      <c r="J349" s="10">
        <f>(D349+F349+H349)</f>
        <v>57.74782608695652</v>
      </c>
      <c r="K349" s="17">
        <f>K348</f>
        <v>23</v>
      </c>
      <c r="L349" s="18">
        <f t="shared" si="103"/>
        <v>1328.2</v>
      </c>
      <c r="M349" s="21">
        <f>M348</f>
        <v>104</v>
      </c>
      <c r="N349" s="21">
        <f t="shared" si="104"/>
        <v>1432.2</v>
      </c>
    </row>
    <row r="350" spans="1:14" ht="12.75">
      <c r="A350" s="7"/>
      <c r="B350" s="5" t="s">
        <v>155</v>
      </c>
      <c r="C350" s="5">
        <v>2210.4</v>
      </c>
      <c r="D350" s="10">
        <f>C350/I350</f>
        <v>96.10434782608696</v>
      </c>
      <c r="E350" s="10"/>
      <c r="F350" s="10"/>
      <c r="G350" s="10">
        <f>2247.7-E350-C350-M350</f>
        <v>37.29999999999973</v>
      </c>
      <c r="H350" s="10">
        <f>G350/I350</f>
        <v>1.6217391304347708</v>
      </c>
      <c r="I350" s="73">
        <f t="shared" si="120"/>
        <v>23</v>
      </c>
      <c r="J350" s="10">
        <f>(D350+F350+H350)</f>
        <v>97.72608695652174</v>
      </c>
      <c r="K350" s="17">
        <f>K348</f>
        <v>23</v>
      </c>
      <c r="L350" s="18">
        <f t="shared" si="103"/>
        <v>2247.7</v>
      </c>
      <c r="M350" s="19"/>
      <c r="N350" s="21">
        <f t="shared" si="104"/>
        <v>2247.7</v>
      </c>
    </row>
    <row r="351" spans="1:14" ht="12.75">
      <c r="A351" s="7">
        <v>48</v>
      </c>
      <c r="B351" s="5" t="s">
        <v>110</v>
      </c>
      <c r="C351" s="9">
        <f aca="true" t="shared" si="122" ref="C351:H351">C352+C353</f>
        <v>7403.1</v>
      </c>
      <c r="D351" s="9">
        <f t="shared" si="122"/>
        <v>139.6811320754717</v>
      </c>
      <c r="E351" s="9">
        <f t="shared" si="122"/>
        <v>341.6</v>
      </c>
      <c r="F351" s="9">
        <f t="shared" si="122"/>
        <v>6.445283018867925</v>
      </c>
      <c r="G351" s="9">
        <f t="shared" si="122"/>
        <v>858.6999999999998</v>
      </c>
      <c r="H351" s="9">
        <f t="shared" si="122"/>
        <v>16.201886792452825</v>
      </c>
      <c r="I351" s="28">
        <f t="shared" si="120"/>
        <v>53</v>
      </c>
      <c r="J351" s="9">
        <f>J352+J353</f>
        <v>162.32830188679245</v>
      </c>
      <c r="K351" s="74">
        <v>53</v>
      </c>
      <c r="L351" s="9">
        <f t="shared" si="103"/>
        <v>8603.4</v>
      </c>
      <c r="M351" s="19">
        <v>687.8</v>
      </c>
      <c r="N351" s="19">
        <f t="shared" si="104"/>
        <v>9291.199999999999</v>
      </c>
    </row>
    <row r="352" spans="1:14" ht="12.75">
      <c r="A352" s="7"/>
      <c r="B352" s="5" t="s">
        <v>7</v>
      </c>
      <c r="C352" s="5">
        <v>1473.3</v>
      </c>
      <c r="D352" s="10">
        <f>C352/I352</f>
        <v>27.798113207547168</v>
      </c>
      <c r="E352" s="10">
        <v>341.6</v>
      </c>
      <c r="F352" s="54">
        <f>E352/I352</f>
        <v>6.445283018867925</v>
      </c>
      <c r="G352" s="10">
        <f>3273.7-E352-C352-M352</f>
        <v>771</v>
      </c>
      <c r="H352" s="10">
        <f>G352/I352</f>
        <v>14.547169811320755</v>
      </c>
      <c r="I352" s="73">
        <f t="shared" si="120"/>
        <v>53</v>
      </c>
      <c r="J352" s="10">
        <f>(D352+F352+H352)</f>
        <v>48.79056603773585</v>
      </c>
      <c r="K352" s="17">
        <f>K351</f>
        <v>53</v>
      </c>
      <c r="L352" s="18">
        <f t="shared" si="103"/>
        <v>2585.9</v>
      </c>
      <c r="M352" s="21">
        <f>M351</f>
        <v>687.8</v>
      </c>
      <c r="N352" s="21">
        <f t="shared" si="104"/>
        <v>3273.7</v>
      </c>
    </row>
    <row r="353" spans="1:14" ht="12.75">
      <c r="A353" s="7"/>
      <c r="B353" s="5" t="s">
        <v>155</v>
      </c>
      <c r="C353" s="5">
        <v>5929.8</v>
      </c>
      <c r="D353" s="10">
        <f>C353/I353</f>
        <v>111.88301886792453</v>
      </c>
      <c r="E353" s="10"/>
      <c r="F353" s="10"/>
      <c r="G353" s="10">
        <f>6017.5-E353-C353-M353</f>
        <v>87.69999999999982</v>
      </c>
      <c r="H353" s="10">
        <f>G353/I353</f>
        <v>1.654716981132072</v>
      </c>
      <c r="I353" s="73">
        <f t="shared" si="120"/>
        <v>53</v>
      </c>
      <c r="J353" s="10">
        <f>(D353+F353+H353)</f>
        <v>113.5377358490566</v>
      </c>
      <c r="K353" s="17">
        <f>K351</f>
        <v>53</v>
      </c>
      <c r="L353" s="18">
        <f t="shared" si="103"/>
        <v>6017.5</v>
      </c>
      <c r="M353" s="21"/>
      <c r="N353" s="21">
        <f t="shared" si="104"/>
        <v>6017.5</v>
      </c>
    </row>
    <row r="354" spans="1:14" ht="12.75">
      <c r="A354" s="7">
        <v>49</v>
      </c>
      <c r="B354" s="5" t="s">
        <v>111</v>
      </c>
      <c r="C354" s="9">
        <f aca="true" t="shared" si="123" ref="C354:H354">C355+C356</f>
        <v>17710.8</v>
      </c>
      <c r="D354" s="9">
        <f t="shared" si="123"/>
        <v>87.67722772277227</v>
      </c>
      <c r="E354" s="9">
        <f t="shared" si="123"/>
        <v>874.7</v>
      </c>
      <c r="F354" s="9">
        <f t="shared" si="123"/>
        <v>4.330198019801981</v>
      </c>
      <c r="G354" s="9">
        <f t="shared" si="123"/>
        <v>1271.7999999999997</v>
      </c>
      <c r="H354" s="9">
        <f t="shared" si="123"/>
        <v>6.296039603960395</v>
      </c>
      <c r="I354" s="28">
        <f t="shared" si="120"/>
        <v>202</v>
      </c>
      <c r="J354" s="9">
        <f>J355+J356</f>
        <v>98.30346534653465</v>
      </c>
      <c r="K354" s="74">
        <v>202</v>
      </c>
      <c r="L354" s="9">
        <f t="shared" si="103"/>
        <v>19857.3</v>
      </c>
      <c r="M354" s="19">
        <v>613</v>
      </c>
      <c r="N354" s="19">
        <f t="shared" si="104"/>
        <v>20470.3</v>
      </c>
    </row>
    <row r="355" spans="1:14" ht="12.75">
      <c r="A355" s="7"/>
      <c r="B355" s="5" t="s">
        <v>7</v>
      </c>
      <c r="C355" s="5">
        <v>2620.4</v>
      </c>
      <c r="D355" s="10">
        <f>C355/I355</f>
        <v>12.972277227722772</v>
      </c>
      <c r="E355" s="10">
        <v>874.7</v>
      </c>
      <c r="F355" s="54">
        <f>E355/I355</f>
        <v>4.330198019801981</v>
      </c>
      <c r="G355" s="10">
        <f>4989.9-E355-C355-M355</f>
        <v>881.7999999999997</v>
      </c>
      <c r="H355" s="10">
        <f>G355/I355</f>
        <v>4.365346534653464</v>
      </c>
      <c r="I355" s="73">
        <f t="shared" si="120"/>
        <v>202</v>
      </c>
      <c r="J355" s="10">
        <f>(D355+F355+H355)</f>
        <v>21.66782178217822</v>
      </c>
      <c r="K355" s="17">
        <f>K354</f>
        <v>202</v>
      </c>
      <c r="L355" s="18">
        <f t="shared" si="103"/>
        <v>4376.900000000001</v>
      </c>
      <c r="M355" s="21">
        <f>M354</f>
        <v>613</v>
      </c>
      <c r="N355" s="21">
        <f t="shared" si="104"/>
        <v>4989.900000000001</v>
      </c>
    </row>
    <row r="356" spans="1:14" ht="12.75">
      <c r="A356" s="7"/>
      <c r="B356" s="5" t="s">
        <v>155</v>
      </c>
      <c r="C356" s="5">
        <f>15058.6+31.8</f>
        <v>15090.4</v>
      </c>
      <c r="D356" s="10">
        <f>C356/I356</f>
        <v>74.7049504950495</v>
      </c>
      <c r="E356" s="10"/>
      <c r="F356" s="10"/>
      <c r="G356" s="10">
        <f>15448.6+31.8-E356-C356-M356</f>
        <v>390</v>
      </c>
      <c r="H356" s="10">
        <f>G356/I356</f>
        <v>1.9306930693069306</v>
      </c>
      <c r="I356" s="73">
        <f t="shared" si="120"/>
        <v>202</v>
      </c>
      <c r="J356" s="10">
        <f>(D356+F356+H356)</f>
        <v>76.63564356435643</v>
      </c>
      <c r="K356" s="17">
        <f>K354</f>
        <v>202</v>
      </c>
      <c r="L356" s="18">
        <f t="shared" si="103"/>
        <v>15480.399999999998</v>
      </c>
      <c r="M356" s="21"/>
      <c r="N356" s="21">
        <f t="shared" si="104"/>
        <v>15480.399999999998</v>
      </c>
    </row>
    <row r="357" spans="1:14" ht="12.75">
      <c r="A357" s="7">
        <v>50</v>
      </c>
      <c r="B357" s="5" t="s">
        <v>112</v>
      </c>
      <c r="C357" s="9">
        <f aca="true" t="shared" si="124" ref="C357:H357">C358+C359</f>
        <v>17063.4</v>
      </c>
      <c r="D357" s="9">
        <f t="shared" si="124"/>
        <v>151.00353982300885</v>
      </c>
      <c r="E357" s="9">
        <f t="shared" si="124"/>
        <v>417.7</v>
      </c>
      <c r="F357" s="9">
        <f t="shared" si="124"/>
        <v>3.6964601769911503</v>
      </c>
      <c r="G357" s="9">
        <f t="shared" si="124"/>
        <v>603.4000000000001</v>
      </c>
      <c r="H357" s="9">
        <f t="shared" si="124"/>
        <v>5.339823008849558</v>
      </c>
      <c r="I357" s="28">
        <f t="shared" si="120"/>
        <v>113</v>
      </c>
      <c r="J357" s="9">
        <f>J358+J359</f>
        <v>160.03982300884957</v>
      </c>
      <c r="K357" s="74">
        <v>113</v>
      </c>
      <c r="L357" s="9">
        <f t="shared" si="103"/>
        <v>18084.5</v>
      </c>
      <c r="M357" s="19">
        <v>243.5</v>
      </c>
      <c r="N357" s="19">
        <f t="shared" si="104"/>
        <v>18328</v>
      </c>
    </row>
    <row r="358" spans="1:14" ht="12.75">
      <c r="A358" s="7"/>
      <c r="B358" s="5" t="s">
        <v>7</v>
      </c>
      <c r="C358" s="5">
        <v>2153.4</v>
      </c>
      <c r="D358" s="10">
        <f>C358/I358</f>
        <v>19.056637168141595</v>
      </c>
      <c r="E358" s="10">
        <v>417.7</v>
      </c>
      <c r="F358" s="54">
        <f>E358/I358</f>
        <v>3.6964601769911503</v>
      </c>
      <c r="G358" s="10">
        <f>3246.5-E358-C358-M358</f>
        <v>431.9000000000001</v>
      </c>
      <c r="H358" s="10">
        <f>G358/I358</f>
        <v>3.8221238938053106</v>
      </c>
      <c r="I358" s="73">
        <f t="shared" si="120"/>
        <v>113</v>
      </c>
      <c r="J358" s="10">
        <f>(D358+F358+H358)</f>
        <v>26.575221238938056</v>
      </c>
      <c r="K358" s="17">
        <f>K357</f>
        <v>113</v>
      </c>
      <c r="L358" s="18">
        <f t="shared" si="103"/>
        <v>3003.0000000000005</v>
      </c>
      <c r="M358" s="21">
        <f>M357</f>
        <v>243.5</v>
      </c>
      <c r="N358" s="21">
        <f t="shared" si="104"/>
        <v>3246.5000000000005</v>
      </c>
    </row>
    <row r="359" spans="1:14" ht="12.75">
      <c r="A359" s="7"/>
      <c r="B359" s="5" t="s">
        <v>155</v>
      </c>
      <c r="C359" s="5">
        <v>14910</v>
      </c>
      <c r="D359" s="10">
        <f>C359/I359</f>
        <v>131.94690265486724</v>
      </c>
      <c r="E359" s="10"/>
      <c r="F359" s="10"/>
      <c r="G359" s="10">
        <f>15081.5-E359-C359-M359</f>
        <v>171.5</v>
      </c>
      <c r="H359" s="10">
        <f>G359/I359</f>
        <v>1.5176991150442478</v>
      </c>
      <c r="I359" s="73">
        <f t="shared" si="120"/>
        <v>113</v>
      </c>
      <c r="J359" s="10">
        <f>(D359+F359+H359)</f>
        <v>133.4646017699115</v>
      </c>
      <c r="K359" s="17">
        <f>K357</f>
        <v>113</v>
      </c>
      <c r="L359" s="18">
        <f t="shared" si="103"/>
        <v>15081.5</v>
      </c>
      <c r="M359" s="21"/>
      <c r="N359" s="21">
        <f t="shared" si="104"/>
        <v>15081.5</v>
      </c>
    </row>
    <row r="360" spans="1:14" ht="12.75">
      <c r="A360" s="7">
        <v>51</v>
      </c>
      <c r="B360" s="5" t="s">
        <v>113</v>
      </c>
      <c r="C360" s="9">
        <f aca="true" t="shared" si="125" ref="C360:H360">C361+C362</f>
        <v>5010</v>
      </c>
      <c r="D360" s="9">
        <f t="shared" si="125"/>
        <v>167</v>
      </c>
      <c r="E360" s="9">
        <f t="shared" si="125"/>
        <v>457.7</v>
      </c>
      <c r="F360" s="9">
        <f t="shared" si="125"/>
        <v>15.256666666666666</v>
      </c>
      <c r="G360" s="9">
        <f t="shared" si="125"/>
        <v>608.1000000000001</v>
      </c>
      <c r="H360" s="9">
        <f t="shared" si="125"/>
        <v>20.270000000000003</v>
      </c>
      <c r="I360" s="28">
        <f t="shared" si="120"/>
        <v>30</v>
      </c>
      <c r="J360" s="9">
        <f>J361+J362</f>
        <v>202.52666666666664</v>
      </c>
      <c r="K360" s="74">
        <v>30</v>
      </c>
      <c r="L360" s="9">
        <f t="shared" si="103"/>
        <v>6075.799999999999</v>
      </c>
      <c r="M360" s="19">
        <v>620.7</v>
      </c>
      <c r="N360" s="19">
        <f t="shared" si="104"/>
        <v>6696.499999999999</v>
      </c>
    </row>
    <row r="361" spans="1:14" ht="12.75">
      <c r="A361" s="7"/>
      <c r="B361" s="5" t="s">
        <v>7</v>
      </c>
      <c r="C361" s="5">
        <v>1196.4</v>
      </c>
      <c r="D361" s="10">
        <f>C361/I361</f>
        <v>39.88</v>
      </c>
      <c r="E361" s="10">
        <v>457.7</v>
      </c>
      <c r="F361" s="54">
        <f>E361/I361</f>
        <v>15.256666666666666</v>
      </c>
      <c r="G361" s="10">
        <f>2828-E361-C361-M361</f>
        <v>553.2</v>
      </c>
      <c r="H361" s="10">
        <f>G361/I361</f>
        <v>18.44</v>
      </c>
      <c r="I361" s="73">
        <f t="shared" si="120"/>
        <v>30</v>
      </c>
      <c r="J361" s="10">
        <f>(D361+F361+H361)</f>
        <v>73.57666666666667</v>
      </c>
      <c r="K361" s="17">
        <f>K360</f>
        <v>30</v>
      </c>
      <c r="L361" s="18">
        <f t="shared" si="103"/>
        <v>2207.3</v>
      </c>
      <c r="M361" s="21">
        <f>M360</f>
        <v>620.7</v>
      </c>
      <c r="N361" s="21">
        <f t="shared" si="104"/>
        <v>2828</v>
      </c>
    </row>
    <row r="362" spans="1:14" ht="12.75">
      <c r="A362" s="7"/>
      <c r="B362" s="5" t="s">
        <v>155</v>
      </c>
      <c r="C362" s="5">
        <v>3813.6</v>
      </c>
      <c r="D362" s="10">
        <f>C362/I362</f>
        <v>127.11999999999999</v>
      </c>
      <c r="E362" s="10"/>
      <c r="F362" s="10"/>
      <c r="G362" s="10">
        <f>3868.5-E362-C362-M362</f>
        <v>54.90000000000009</v>
      </c>
      <c r="H362" s="10">
        <f>G362/I362</f>
        <v>1.830000000000003</v>
      </c>
      <c r="I362" s="73">
        <f t="shared" si="120"/>
        <v>30</v>
      </c>
      <c r="J362" s="10">
        <f>(D362+F362+H362)</f>
        <v>128.95</v>
      </c>
      <c r="K362" s="17">
        <f>K360</f>
        <v>30</v>
      </c>
      <c r="L362" s="18">
        <f t="shared" si="103"/>
        <v>3868.4999999999995</v>
      </c>
      <c r="M362" s="21"/>
      <c r="N362" s="21">
        <f t="shared" si="104"/>
        <v>3868.4999999999995</v>
      </c>
    </row>
    <row r="363" spans="1:14" ht="12.75">
      <c r="A363" s="7">
        <v>52</v>
      </c>
      <c r="B363" s="5" t="s">
        <v>114</v>
      </c>
      <c r="C363" s="9">
        <f aca="true" t="shared" si="126" ref="C363:H363">C364+C365</f>
        <v>5481.2</v>
      </c>
      <c r="D363" s="9">
        <f t="shared" si="126"/>
        <v>203.00740740740738</v>
      </c>
      <c r="E363" s="9">
        <f t="shared" si="126"/>
        <v>324.7</v>
      </c>
      <c r="F363" s="9">
        <f t="shared" si="126"/>
        <v>12.025925925925925</v>
      </c>
      <c r="G363" s="9">
        <f t="shared" si="126"/>
        <v>433.8000000000002</v>
      </c>
      <c r="H363" s="9">
        <f t="shared" si="126"/>
        <v>16.066666666666674</v>
      </c>
      <c r="I363" s="28">
        <f t="shared" si="120"/>
        <v>27</v>
      </c>
      <c r="J363" s="9">
        <f>J364+J365</f>
        <v>231.09999999999997</v>
      </c>
      <c r="K363" s="74">
        <v>27</v>
      </c>
      <c r="L363" s="9">
        <f t="shared" si="103"/>
        <v>6239.699999999999</v>
      </c>
      <c r="M363" s="19">
        <v>299.5</v>
      </c>
      <c r="N363" s="19">
        <f t="shared" si="104"/>
        <v>6539.199999999999</v>
      </c>
    </row>
    <row r="364" spans="1:14" ht="12.75">
      <c r="A364" s="7"/>
      <c r="B364" s="5" t="s">
        <v>7</v>
      </c>
      <c r="C364" s="5">
        <v>1482</v>
      </c>
      <c r="D364" s="10">
        <f>C364/I364</f>
        <v>54.888888888888886</v>
      </c>
      <c r="E364" s="10">
        <v>324.7</v>
      </c>
      <c r="F364" s="54">
        <f>E364/I364</f>
        <v>12.025925925925925</v>
      </c>
      <c r="G364" s="10">
        <f>2493.7-E364-C364-M364</f>
        <v>387.5</v>
      </c>
      <c r="H364" s="10">
        <f>G364/I364</f>
        <v>14.351851851851851</v>
      </c>
      <c r="I364" s="73">
        <f t="shared" si="120"/>
        <v>27</v>
      </c>
      <c r="J364" s="10">
        <f>(D364+F364+H364)</f>
        <v>81.26666666666665</v>
      </c>
      <c r="K364" s="17">
        <f>K363</f>
        <v>27</v>
      </c>
      <c r="L364" s="18">
        <f t="shared" si="103"/>
        <v>2194.2</v>
      </c>
      <c r="M364" s="21">
        <f>M363</f>
        <v>299.5</v>
      </c>
      <c r="N364" s="21">
        <f t="shared" si="104"/>
        <v>2493.7</v>
      </c>
    </row>
    <row r="365" spans="1:14" ht="12.75">
      <c r="A365" s="7"/>
      <c r="B365" s="5" t="s">
        <v>155</v>
      </c>
      <c r="C365" s="5">
        <v>3999.2</v>
      </c>
      <c r="D365" s="10">
        <f>C365/I365</f>
        <v>148.1185185185185</v>
      </c>
      <c r="E365" s="10"/>
      <c r="F365" s="10"/>
      <c r="G365" s="10">
        <f>4045.5-E365-C365-M365</f>
        <v>46.30000000000018</v>
      </c>
      <c r="H365" s="10">
        <f>G365/I365</f>
        <v>1.7148148148148215</v>
      </c>
      <c r="I365" s="73">
        <f t="shared" si="120"/>
        <v>27</v>
      </c>
      <c r="J365" s="10">
        <f>(D365+F365+H365)</f>
        <v>149.83333333333331</v>
      </c>
      <c r="K365" s="17">
        <f>K363</f>
        <v>27</v>
      </c>
      <c r="L365" s="18">
        <f t="shared" si="103"/>
        <v>4045.4999999999995</v>
      </c>
      <c r="M365" s="19"/>
      <c r="N365" s="21">
        <f t="shared" si="104"/>
        <v>4045.4999999999995</v>
      </c>
    </row>
    <row r="366" spans="1:14" ht="12.75">
      <c r="A366" s="7">
        <v>53</v>
      </c>
      <c r="B366" s="5" t="s">
        <v>115</v>
      </c>
      <c r="C366" s="9">
        <f aca="true" t="shared" si="127" ref="C366:H366">C367+C368</f>
        <v>21197.9</v>
      </c>
      <c r="D366" s="9">
        <f t="shared" si="127"/>
        <v>124.69352941176471</v>
      </c>
      <c r="E366" s="9">
        <f t="shared" si="127"/>
        <v>680.7</v>
      </c>
      <c r="F366" s="9">
        <f t="shared" si="127"/>
        <v>4.004117647058824</v>
      </c>
      <c r="G366" s="9">
        <f t="shared" si="127"/>
        <v>1103.3000000000002</v>
      </c>
      <c r="H366" s="9">
        <f t="shared" si="127"/>
        <v>6.490000000000001</v>
      </c>
      <c r="I366" s="28">
        <f t="shared" si="120"/>
        <v>170</v>
      </c>
      <c r="J366" s="9">
        <f>J367+J368</f>
        <v>135.18764705882353</v>
      </c>
      <c r="K366" s="74">
        <v>170</v>
      </c>
      <c r="L366" s="9">
        <f aca="true" t="shared" si="128" ref="L366:L410">J366*K366</f>
        <v>22981.9</v>
      </c>
      <c r="M366" s="19">
        <v>609.6</v>
      </c>
      <c r="N366" s="19">
        <f aca="true" t="shared" si="129" ref="N366:N410">L366+M366</f>
        <v>23591.5</v>
      </c>
    </row>
    <row r="367" spans="1:14" ht="12.75">
      <c r="A367" s="7"/>
      <c r="B367" s="5" t="s">
        <v>7</v>
      </c>
      <c r="C367" s="5">
        <v>3045.9</v>
      </c>
      <c r="D367" s="10">
        <f>C367/I367</f>
        <v>17.917058823529413</v>
      </c>
      <c r="E367" s="10">
        <v>680.7</v>
      </c>
      <c r="F367" s="54">
        <f>E367/I367</f>
        <v>4.004117647058824</v>
      </c>
      <c r="G367" s="10">
        <f>5154.5-E367-C367-M367</f>
        <v>818.3000000000001</v>
      </c>
      <c r="H367" s="10">
        <f>G367/I367</f>
        <v>4.813529411764707</v>
      </c>
      <c r="I367" s="73">
        <f t="shared" si="120"/>
        <v>170</v>
      </c>
      <c r="J367" s="10">
        <f>(D367+F367+H367)</f>
        <v>26.73470588235294</v>
      </c>
      <c r="K367" s="17">
        <f>K366</f>
        <v>170</v>
      </c>
      <c r="L367" s="18">
        <f t="shared" si="128"/>
        <v>4544.9</v>
      </c>
      <c r="M367" s="21">
        <f>M366</f>
        <v>609.6</v>
      </c>
      <c r="N367" s="21">
        <f t="shared" si="129"/>
        <v>5154.5</v>
      </c>
    </row>
    <row r="368" spans="1:14" ht="12.75">
      <c r="A368" s="7"/>
      <c r="B368" s="5" t="s">
        <v>155</v>
      </c>
      <c r="C368" s="5">
        <v>18152</v>
      </c>
      <c r="D368" s="10">
        <f>C368/I368</f>
        <v>106.7764705882353</v>
      </c>
      <c r="E368" s="10"/>
      <c r="F368" s="10"/>
      <c r="G368" s="10">
        <f>18437-E368-C368-M368</f>
        <v>285</v>
      </c>
      <c r="H368" s="10">
        <f>G368/I368</f>
        <v>1.6764705882352942</v>
      </c>
      <c r="I368" s="73">
        <f t="shared" si="120"/>
        <v>170</v>
      </c>
      <c r="J368" s="10">
        <f>(D368+F368+H368)</f>
        <v>108.45294117647059</v>
      </c>
      <c r="K368" s="17">
        <f>K366</f>
        <v>170</v>
      </c>
      <c r="L368" s="18">
        <f t="shared" si="128"/>
        <v>18437</v>
      </c>
      <c r="M368" s="21"/>
      <c r="N368" s="21">
        <f t="shared" si="129"/>
        <v>18437</v>
      </c>
    </row>
    <row r="369" spans="1:14" ht="12.75">
      <c r="A369" s="7">
        <v>54</v>
      </c>
      <c r="B369" s="5" t="s">
        <v>116</v>
      </c>
      <c r="C369" s="9">
        <f aca="true" t="shared" si="130" ref="C369:H369">C370+C371</f>
        <v>9682.699999999999</v>
      </c>
      <c r="D369" s="9">
        <f t="shared" si="130"/>
        <v>151.29218749999998</v>
      </c>
      <c r="E369" s="9">
        <f t="shared" si="130"/>
        <v>379.1</v>
      </c>
      <c r="F369" s="9">
        <f t="shared" si="130"/>
        <v>5.9234375</v>
      </c>
      <c r="G369" s="9">
        <f t="shared" si="130"/>
        <v>320.09999999999997</v>
      </c>
      <c r="H369" s="9">
        <f t="shared" si="130"/>
        <v>5.0015624999999995</v>
      </c>
      <c r="I369" s="28">
        <f t="shared" si="120"/>
        <v>64</v>
      </c>
      <c r="J369" s="9">
        <f>J370+J371</f>
        <v>162.2171875</v>
      </c>
      <c r="K369" s="74">
        <v>64</v>
      </c>
      <c r="L369" s="9">
        <f t="shared" si="128"/>
        <v>10381.9</v>
      </c>
      <c r="M369" s="19">
        <v>264.2</v>
      </c>
      <c r="N369" s="19">
        <f t="shared" si="129"/>
        <v>10646.1</v>
      </c>
    </row>
    <row r="370" spans="1:14" ht="12.75">
      <c r="A370" s="7"/>
      <c r="B370" s="5" t="s">
        <v>7</v>
      </c>
      <c r="C370" s="5">
        <v>1831.3</v>
      </c>
      <c r="D370" s="10">
        <f>C370/I370</f>
        <v>28.6140625</v>
      </c>
      <c r="E370" s="10">
        <v>379.1</v>
      </c>
      <c r="F370" s="54">
        <f>E370/I370</f>
        <v>5.9234375</v>
      </c>
      <c r="G370" s="10">
        <f>2700.7-E370-C370-M370</f>
        <v>226.09999999999997</v>
      </c>
      <c r="H370" s="10">
        <f>G370/I370</f>
        <v>3.5328124999999995</v>
      </c>
      <c r="I370" s="73">
        <f t="shared" si="120"/>
        <v>64</v>
      </c>
      <c r="J370" s="10">
        <f>(D370+F370+H370)</f>
        <v>38.0703125</v>
      </c>
      <c r="K370" s="17">
        <f>K369</f>
        <v>64</v>
      </c>
      <c r="L370" s="18">
        <f t="shared" si="128"/>
        <v>2436.5</v>
      </c>
      <c r="M370" s="21">
        <f>M369</f>
        <v>264.2</v>
      </c>
      <c r="N370" s="21">
        <f t="shared" si="129"/>
        <v>2700.7</v>
      </c>
    </row>
    <row r="371" spans="1:14" ht="12.75">
      <c r="A371" s="7"/>
      <c r="B371" s="5" t="s">
        <v>155</v>
      </c>
      <c r="C371" s="5">
        <v>7851.4</v>
      </c>
      <c r="D371" s="10">
        <f>C371/I371</f>
        <v>122.678125</v>
      </c>
      <c r="E371" s="10"/>
      <c r="F371" s="10"/>
      <c r="G371" s="10">
        <f>7945.4-E371-C371-M371</f>
        <v>94</v>
      </c>
      <c r="H371" s="10">
        <f>G371/I371</f>
        <v>1.46875</v>
      </c>
      <c r="I371" s="73">
        <f t="shared" si="120"/>
        <v>64</v>
      </c>
      <c r="J371" s="10">
        <f>(D371+F371+H371)</f>
        <v>124.146875</v>
      </c>
      <c r="K371" s="17">
        <f>K369</f>
        <v>64</v>
      </c>
      <c r="L371" s="18">
        <f t="shared" si="128"/>
        <v>7945.4</v>
      </c>
      <c r="M371" s="21"/>
      <c r="N371" s="21">
        <f t="shared" si="129"/>
        <v>7945.4</v>
      </c>
    </row>
    <row r="372" spans="1:14" ht="12.75">
      <c r="A372" s="7">
        <v>55</v>
      </c>
      <c r="B372" s="5" t="s">
        <v>117</v>
      </c>
      <c r="C372" s="9">
        <f aca="true" t="shared" si="131" ref="C372:H372">C373+C374</f>
        <v>5514</v>
      </c>
      <c r="D372" s="9">
        <f t="shared" si="131"/>
        <v>190.13793103448276</v>
      </c>
      <c r="E372" s="9">
        <f t="shared" si="131"/>
        <v>494.6</v>
      </c>
      <c r="F372" s="9">
        <f t="shared" si="131"/>
        <v>17.055172413793105</v>
      </c>
      <c r="G372" s="9">
        <f t="shared" si="131"/>
        <v>609.0999999999998</v>
      </c>
      <c r="H372" s="9">
        <f t="shared" si="131"/>
        <v>21.00344827586206</v>
      </c>
      <c r="I372" s="28">
        <f t="shared" si="120"/>
        <v>29</v>
      </c>
      <c r="J372" s="9">
        <f>J373+J374</f>
        <v>228.19655172413792</v>
      </c>
      <c r="K372" s="74">
        <v>29</v>
      </c>
      <c r="L372" s="9">
        <f t="shared" si="128"/>
        <v>6617.7</v>
      </c>
      <c r="M372" s="19">
        <v>576.1</v>
      </c>
      <c r="N372" s="19">
        <f t="shared" si="129"/>
        <v>7193.8</v>
      </c>
    </row>
    <row r="373" spans="1:14" ht="12.75">
      <c r="A373" s="7"/>
      <c r="B373" s="5" t="s">
        <v>7</v>
      </c>
      <c r="C373" s="5">
        <v>1547.1</v>
      </c>
      <c r="D373" s="10">
        <f>C373/I373</f>
        <v>53.34827586206896</v>
      </c>
      <c r="E373" s="10">
        <v>494.6</v>
      </c>
      <c r="F373" s="54">
        <f>E373/I373</f>
        <v>17.055172413793105</v>
      </c>
      <c r="G373" s="10">
        <f>3176.7-E373-C373-M373</f>
        <v>558.9</v>
      </c>
      <c r="H373" s="10">
        <f>G373/I373</f>
        <v>19.272413793103446</v>
      </c>
      <c r="I373" s="73">
        <f t="shared" si="120"/>
        <v>29</v>
      </c>
      <c r="J373" s="10">
        <f>(D373+F373+H373)</f>
        <v>89.6758620689655</v>
      </c>
      <c r="K373" s="17">
        <f>K372</f>
        <v>29</v>
      </c>
      <c r="L373" s="18">
        <f t="shared" si="128"/>
        <v>2600.5999999999995</v>
      </c>
      <c r="M373" s="21">
        <f>M372</f>
        <v>576.1</v>
      </c>
      <c r="N373" s="21">
        <f t="shared" si="129"/>
        <v>3176.6999999999994</v>
      </c>
    </row>
    <row r="374" spans="1:14" ht="12.75">
      <c r="A374" s="7"/>
      <c r="B374" s="5" t="s">
        <v>155</v>
      </c>
      <c r="C374" s="5">
        <v>3966.9</v>
      </c>
      <c r="D374" s="10">
        <f>C374/I374</f>
        <v>136.7896551724138</v>
      </c>
      <c r="E374" s="10"/>
      <c r="F374" s="10"/>
      <c r="G374" s="10">
        <f>4017.1-E374-C374-M374</f>
        <v>50.19999999999982</v>
      </c>
      <c r="H374" s="10">
        <f>G374/I374</f>
        <v>1.7310344827586144</v>
      </c>
      <c r="I374" s="73">
        <f t="shared" si="120"/>
        <v>29</v>
      </c>
      <c r="J374" s="10">
        <f>(D374+F374+H374)</f>
        <v>138.52068965517242</v>
      </c>
      <c r="K374" s="17">
        <f>K372</f>
        <v>29</v>
      </c>
      <c r="L374" s="18">
        <f t="shared" si="128"/>
        <v>4017.1000000000004</v>
      </c>
      <c r="M374" s="21"/>
      <c r="N374" s="21">
        <f t="shared" si="129"/>
        <v>4017.1000000000004</v>
      </c>
    </row>
    <row r="375" spans="1:14" ht="12.75">
      <c r="A375" s="7">
        <v>56</v>
      </c>
      <c r="B375" s="5" t="s">
        <v>118</v>
      </c>
      <c r="C375" s="9">
        <f aca="true" t="shared" si="132" ref="C375:H375">C376+C377</f>
        <v>5541.7</v>
      </c>
      <c r="D375" s="9">
        <f t="shared" si="132"/>
        <v>125.94772727272728</v>
      </c>
      <c r="E375" s="9">
        <f t="shared" si="132"/>
        <v>376.2</v>
      </c>
      <c r="F375" s="9">
        <f t="shared" si="132"/>
        <v>8.549999999999999</v>
      </c>
      <c r="G375" s="9">
        <f t="shared" si="132"/>
        <v>1029.3000000000004</v>
      </c>
      <c r="H375" s="9">
        <f t="shared" si="132"/>
        <v>23.393181818181827</v>
      </c>
      <c r="I375" s="28">
        <f t="shared" si="120"/>
        <v>44</v>
      </c>
      <c r="J375" s="9">
        <f>J376+J377</f>
        <v>157.8909090909091</v>
      </c>
      <c r="K375" s="74">
        <v>44</v>
      </c>
      <c r="L375" s="9">
        <f t="shared" si="128"/>
        <v>6947.200000000001</v>
      </c>
      <c r="M375" s="19">
        <v>600.3</v>
      </c>
      <c r="N375" s="19">
        <f t="shared" si="129"/>
        <v>7547.500000000001</v>
      </c>
    </row>
    <row r="376" spans="1:14" ht="12.75">
      <c r="A376" s="7"/>
      <c r="B376" s="5" t="s">
        <v>7</v>
      </c>
      <c r="C376" s="5">
        <v>1494.6</v>
      </c>
      <c r="D376" s="10">
        <f>C376/I376</f>
        <v>33.96818181818182</v>
      </c>
      <c r="E376" s="10">
        <v>376.2</v>
      </c>
      <c r="F376" s="54">
        <f>E376/I376</f>
        <v>8.549999999999999</v>
      </c>
      <c r="G376" s="10">
        <f>3430.7-E376-C376-M376</f>
        <v>959.6000000000001</v>
      </c>
      <c r="H376" s="10">
        <f>G376/I376</f>
        <v>21.809090909090912</v>
      </c>
      <c r="I376" s="73">
        <f t="shared" si="120"/>
        <v>44</v>
      </c>
      <c r="J376" s="10">
        <f>(D376+F376+H376)</f>
        <v>64.32727272727273</v>
      </c>
      <c r="K376" s="17">
        <f>K375</f>
        <v>44</v>
      </c>
      <c r="L376" s="18">
        <f t="shared" si="128"/>
        <v>2830.4</v>
      </c>
      <c r="M376" s="21">
        <f>M375</f>
        <v>600.3</v>
      </c>
      <c r="N376" s="21">
        <f t="shared" si="129"/>
        <v>3430.7</v>
      </c>
    </row>
    <row r="377" spans="1:14" ht="12.75">
      <c r="A377" s="7"/>
      <c r="B377" s="5" t="s">
        <v>155</v>
      </c>
      <c r="C377" s="5">
        <v>4047.1</v>
      </c>
      <c r="D377" s="10">
        <f>C377/I377</f>
        <v>91.97954545454546</v>
      </c>
      <c r="E377" s="10"/>
      <c r="F377" s="10"/>
      <c r="G377" s="10">
        <f>4116.8-E377-C377-M377</f>
        <v>69.70000000000027</v>
      </c>
      <c r="H377" s="10">
        <f>G377/I377</f>
        <v>1.5840909090909152</v>
      </c>
      <c r="I377" s="73">
        <f t="shared" si="120"/>
        <v>44</v>
      </c>
      <c r="J377" s="10">
        <f>(D377+F377+H377)</f>
        <v>93.56363636363638</v>
      </c>
      <c r="K377" s="17">
        <f>K375</f>
        <v>44</v>
      </c>
      <c r="L377" s="18">
        <f t="shared" si="128"/>
        <v>4116.8</v>
      </c>
      <c r="M377" s="21"/>
      <c r="N377" s="21">
        <f t="shared" si="129"/>
        <v>4116.8</v>
      </c>
    </row>
    <row r="378" spans="1:14" ht="12.75">
      <c r="A378" s="7">
        <v>57</v>
      </c>
      <c r="B378" s="5" t="s">
        <v>119</v>
      </c>
      <c r="C378" s="9">
        <f aca="true" t="shared" si="133" ref="C378:H378">C379+C380</f>
        <v>5271.299999999999</v>
      </c>
      <c r="D378" s="9">
        <f t="shared" si="133"/>
        <v>142.46756756756756</v>
      </c>
      <c r="E378" s="9">
        <f t="shared" si="133"/>
        <v>333.6</v>
      </c>
      <c r="F378" s="9">
        <f t="shared" si="133"/>
        <v>9.016216216216216</v>
      </c>
      <c r="G378" s="9">
        <f t="shared" si="133"/>
        <v>419.2000000000007</v>
      </c>
      <c r="H378" s="9">
        <f t="shared" si="133"/>
        <v>11.329729729729749</v>
      </c>
      <c r="I378" s="28">
        <f t="shared" si="120"/>
        <v>37</v>
      </c>
      <c r="J378" s="9">
        <f>J379+J380</f>
        <v>162.8135135135135</v>
      </c>
      <c r="K378" s="74">
        <v>37</v>
      </c>
      <c r="L378" s="9">
        <f t="shared" si="128"/>
        <v>6024.099999999999</v>
      </c>
      <c r="M378" s="19">
        <v>363.1</v>
      </c>
      <c r="N378" s="19">
        <f t="shared" si="129"/>
        <v>6387.2</v>
      </c>
    </row>
    <row r="379" spans="1:14" ht="12.75">
      <c r="A379" s="7"/>
      <c r="B379" s="5" t="s">
        <v>7</v>
      </c>
      <c r="C379" s="5">
        <v>996.9</v>
      </c>
      <c r="D379" s="10">
        <f>C379/I379</f>
        <v>26.94324324324324</v>
      </c>
      <c r="E379" s="10">
        <v>333.6</v>
      </c>
      <c r="F379" s="54">
        <f>E379/I379</f>
        <v>9.016216216216216</v>
      </c>
      <c r="G379" s="10">
        <f>2058.1-E379-C379-M379</f>
        <v>364.5</v>
      </c>
      <c r="H379" s="10">
        <f>G379/I379</f>
        <v>9.85135135135135</v>
      </c>
      <c r="I379" s="73">
        <f t="shared" si="120"/>
        <v>37</v>
      </c>
      <c r="J379" s="10">
        <f>(D379+F379+H379)</f>
        <v>45.81081081081081</v>
      </c>
      <c r="K379" s="17">
        <f>K378</f>
        <v>37</v>
      </c>
      <c r="L379" s="18">
        <f t="shared" si="128"/>
        <v>1694.9999999999998</v>
      </c>
      <c r="M379" s="21">
        <f>M378</f>
        <v>363.1</v>
      </c>
      <c r="N379" s="21">
        <f t="shared" si="129"/>
        <v>2058.1</v>
      </c>
    </row>
    <row r="380" spans="1:14" ht="12.75">
      <c r="A380" s="7"/>
      <c r="B380" s="5" t="s">
        <v>155</v>
      </c>
      <c r="C380" s="5">
        <v>4274.4</v>
      </c>
      <c r="D380" s="10">
        <f>C380/I380</f>
        <v>115.52432432432431</v>
      </c>
      <c r="E380" s="10"/>
      <c r="F380" s="10"/>
      <c r="G380" s="10">
        <f>4329.1-E380-C380-M380</f>
        <v>54.70000000000073</v>
      </c>
      <c r="H380" s="10">
        <f>G380/I380</f>
        <v>1.4783783783783981</v>
      </c>
      <c r="I380" s="73">
        <f t="shared" si="120"/>
        <v>37</v>
      </c>
      <c r="J380" s="10">
        <f>(D380+F380+H380)</f>
        <v>117.0027027027027</v>
      </c>
      <c r="K380" s="17">
        <f>K378</f>
        <v>37</v>
      </c>
      <c r="L380" s="18">
        <f t="shared" si="128"/>
        <v>4329.1</v>
      </c>
      <c r="M380" s="19"/>
      <c r="N380" s="21">
        <f t="shared" si="129"/>
        <v>4329.1</v>
      </c>
    </row>
    <row r="381" spans="1:14" ht="12.75">
      <c r="A381" s="7">
        <v>58</v>
      </c>
      <c r="B381" s="5" t="s">
        <v>120</v>
      </c>
      <c r="C381" s="9">
        <f aca="true" t="shared" si="134" ref="C381:H381">C382+C383</f>
        <v>22154.7</v>
      </c>
      <c r="D381" s="9">
        <f t="shared" si="134"/>
        <v>97.5977973568282</v>
      </c>
      <c r="E381" s="9">
        <f t="shared" si="134"/>
        <v>684.6</v>
      </c>
      <c r="F381" s="9">
        <f t="shared" si="134"/>
        <v>3.0158590308370044</v>
      </c>
      <c r="G381" s="9">
        <f t="shared" si="134"/>
        <v>989.3000000000018</v>
      </c>
      <c r="H381" s="9">
        <f t="shared" si="134"/>
        <v>4.35814977973569</v>
      </c>
      <c r="I381" s="28">
        <f t="shared" si="120"/>
        <v>227</v>
      </c>
      <c r="J381" s="9">
        <f>J382+J383</f>
        <v>104.97180616740089</v>
      </c>
      <c r="K381" s="74">
        <v>227</v>
      </c>
      <c r="L381" s="9">
        <f t="shared" si="128"/>
        <v>23828.600000000002</v>
      </c>
      <c r="M381" s="19">
        <v>410.7</v>
      </c>
      <c r="N381" s="19">
        <f t="shared" si="129"/>
        <v>24239.300000000003</v>
      </c>
    </row>
    <row r="382" spans="1:14" ht="12.75">
      <c r="A382" s="7"/>
      <c r="B382" s="5" t="s">
        <v>7</v>
      </c>
      <c r="C382" s="5">
        <f>3054.2+39.1+44.9</f>
        <v>3138.2</v>
      </c>
      <c r="D382" s="10">
        <f>C382/I382</f>
        <v>13.824669603524228</v>
      </c>
      <c r="E382" s="10">
        <v>684.6</v>
      </c>
      <c r="F382" s="54">
        <f>E382/I382</f>
        <v>3.0158590308370044</v>
      </c>
      <c r="G382" s="10">
        <f>4806.7+39.1+44.9-E382-C382-M382</f>
        <v>657.1999999999996</v>
      </c>
      <c r="H382" s="10">
        <f>G382/I382</f>
        <v>2.8951541850220246</v>
      </c>
      <c r="I382" s="73">
        <f t="shared" si="120"/>
        <v>227</v>
      </c>
      <c r="J382" s="10">
        <f>(D382+F382+H382)</f>
        <v>19.735682819383257</v>
      </c>
      <c r="K382" s="17">
        <f>K381</f>
        <v>227</v>
      </c>
      <c r="L382" s="18">
        <f t="shared" si="128"/>
        <v>4479.999999999999</v>
      </c>
      <c r="M382" s="21">
        <f>M381</f>
        <v>410.7</v>
      </c>
      <c r="N382" s="21">
        <f t="shared" si="129"/>
        <v>4890.699999999999</v>
      </c>
    </row>
    <row r="383" spans="1:14" ht="12.75">
      <c r="A383" s="7"/>
      <c r="B383" s="5" t="s">
        <v>155</v>
      </c>
      <c r="C383" s="5">
        <f>19055.6-39.1</f>
        <v>19016.5</v>
      </c>
      <c r="D383" s="10">
        <f>C383/I383</f>
        <v>83.77312775330397</v>
      </c>
      <c r="E383" s="10"/>
      <c r="F383" s="10"/>
      <c r="G383" s="10">
        <f>19387.7-39.1-E383-C383-M383</f>
        <v>332.1000000000022</v>
      </c>
      <c r="H383" s="10">
        <f>G383/I383</f>
        <v>1.462995594713666</v>
      </c>
      <c r="I383" s="73">
        <f t="shared" si="120"/>
        <v>227</v>
      </c>
      <c r="J383" s="10">
        <f>(D383+F383+H383)</f>
        <v>85.23612334801763</v>
      </c>
      <c r="K383" s="17">
        <f>K381</f>
        <v>227</v>
      </c>
      <c r="L383" s="18">
        <f t="shared" si="128"/>
        <v>19348.600000000002</v>
      </c>
      <c r="M383" s="21"/>
      <c r="N383" s="21">
        <f t="shared" si="129"/>
        <v>19348.600000000002</v>
      </c>
    </row>
    <row r="384" spans="1:14" ht="12.75">
      <c r="A384" s="7">
        <v>59</v>
      </c>
      <c r="B384" s="5" t="s">
        <v>121</v>
      </c>
      <c r="C384" s="9">
        <f aca="true" t="shared" si="135" ref="C384:H384">C385+C386</f>
        <v>13376.2</v>
      </c>
      <c r="D384" s="9">
        <f t="shared" si="135"/>
        <v>139.33541666666667</v>
      </c>
      <c r="E384" s="9">
        <f t="shared" si="135"/>
        <v>442.3</v>
      </c>
      <c r="F384" s="9">
        <f t="shared" si="135"/>
        <v>4.607291666666667</v>
      </c>
      <c r="G384" s="9">
        <f t="shared" si="135"/>
        <v>645.0999999999989</v>
      </c>
      <c r="H384" s="9">
        <f t="shared" si="135"/>
        <v>6.719791666666655</v>
      </c>
      <c r="I384" s="28">
        <f t="shared" si="120"/>
        <v>96</v>
      </c>
      <c r="J384" s="9">
        <f>J385+J386</f>
        <v>150.6625</v>
      </c>
      <c r="K384" s="74">
        <v>96</v>
      </c>
      <c r="L384" s="9">
        <f t="shared" si="128"/>
        <v>14463.599999999999</v>
      </c>
      <c r="M384" s="19">
        <v>251.6</v>
      </c>
      <c r="N384" s="19">
        <f t="shared" si="129"/>
        <v>14715.199999999999</v>
      </c>
    </row>
    <row r="385" spans="1:14" ht="12.75">
      <c r="A385" s="7"/>
      <c r="B385" s="5" t="s">
        <v>7</v>
      </c>
      <c r="C385" s="5">
        <v>1827</v>
      </c>
      <c r="D385" s="10">
        <f>C385/I385</f>
        <v>19.03125</v>
      </c>
      <c r="E385" s="10">
        <v>442.3</v>
      </c>
      <c r="F385" s="54">
        <f>E385/I385</f>
        <v>4.607291666666667</v>
      </c>
      <c r="G385" s="10">
        <f>3010.7-E385-C385-M385</f>
        <v>489.7999999999996</v>
      </c>
      <c r="H385" s="10">
        <f>G385/I385</f>
        <v>5.102083333333329</v>
      </c>
      <c r="I385" s="73">
        <f t="shared" si="120"/>
        <v>96</v>
      </c>
      <c r="J385" s="10">
        <f>(D385+F385+H385)</f>
        <v>28.740624999999998</v>
      </c>
      <c r="K385" s="17">
        <f>K384</f>
        <v>96</v>
      </c>
      <c r="L385" s="18">
        <f t="shared" si="128"/>
        <v>2759.1</v>
      </c>
      <c r="M385" s="21">
        <f>M384</f>
        <v>251.6</v>
      </c>
      <c r="N385" s="21">
        <f t="shared" si="129"/>
        <v>3010.7</v>
      </c>
    </row>
    <row r="386" spans="1:14" ht="12.75">
      <c r="A386" s="7"/>
      <c r="B386" s="5" t="s">
        <v>155</v>
      </c>
      <c r="C386" s="5">
        <v>11549.2</v>
      </c>
      <c r="D386" s="10">
        <f>C386/I386</f>
        <v>120.30416666666667</v>
      </c>
      <c r="E386" s="10"/>
      <c r="F386" s="10"/>
      <c r="G386" s="10">
        <f>11704.5-E386-C386-M386</f>
        <v>155.29999999999927</v>
      </c>
      <c r="H386" s="10">
        <f>G386/I386</f>
        <v>1.6177083333333258</v>
      </c>
      <c r="I386" s="73">
        <f t="shared" si="120"/>
        <v>96</v>
      </c>
      <c r="J386" s="10">
        <f>(D386+F386+H386)</f>
        <v>121.921875</v>
      </c>
      <c r="K386" s="17">
        <f>K384</f>
        <v>96</v>
      </c>
      <c r="L386" s="18">
        <f t="shared" si="128"/>
        <v>11704.5</v>
      </c>
      <c r="M386" s="21"/>
      <c r="N386" s="21">
        <f t="shared" si="129"/>
        <v>11704.5</v>
      </c>
    </row>
    <row r="387" spans="1:14" ht="12.75">
      <c r="A387" s="7">
        <v>60</v>
      </c>
      <c r="B387" s="5" t="s">
        <v>122</v>
      </c>
      <c r="C387" s="9">
        <f aca="true" t="shared" si="136" ref="C387:H387">C388+C389</f>
        <v>12899</v>
      </c>
      <c r="D387" s="9">
        <f t="shared" si="136"/>
        <v>99.9922480620155</v>
      </c>
      <c r="E387" s="9">
        <f t="shared" si="136"/>
        <v>318.8</v>
      </c>
      <c r="F387" s="9">
        <f t="shared" si="136"/>
        <v>2.4713178294573646</v>
      </c>
      <c r="G387" s="9">
        <f t="shared" si="136"/>
        <v>701.9999999999986</v>
      </c>
      <c r="H387" s="9">
        <f t="shared" si="136"/>
        <v>5.441860465116268</v>
      </c>
      <c r="I387" s="28">
        <f t="shared" si="120"/>
        <v>129</v>
      </c>
      <c r="J387" s="9">
        <f>J388+J389</f>
        <v>107.90542635658913</v>
      </c>
      <c r="K387" s="74">
        <v>129</v>
      </c>
      <c r="L387" s="9">
        <f t="shared" si="128"/>
        <v>13919.799999999997</v>
      </c>
      <c r="M387" s="19">
        <v>196.8</v>
      </c>
      <c r="N387" s="19">
        <f t="shared" si="129"/>
        <v>14116.599999999997</v>
      </c>
    </row>
    <row r="388" spans="1:14" ht="12.75">
      <c r="A388" s="7"/>
      <c r="B388" s="5" t="s">
        <v>7</v>
      </c>
      <c r="C388" s="5">
        <v>1706.3</v>
      </c>
      <c r="D388" s="10">
        <f>C388/I388</f>
        <v>13.227131782945737</v>
      </c>
      <c r="E388" s="10">
        <v>318.8</v>
      </c>
      <c r="F388" s="54">
        <f>E388/I388</f>
        <v>2.4713178294573646</v>
      </c>
      <c r="G388" s="10">
        <f>2693.7-E388-C388-M388</f>
        <v>471.79999999999967</v>
      </c>
      <c r="H388" s="10">
        <f>G388/I388</f>
        <v>3.6573643410852688</v>
      </c>
      <c r="I388" s="73">
        <f t="shared" si="120"/>
        <v>129</v>
      </c>
      <c r="J388" s="10">
        <f>(D388+F388+H388)</f>
        <v>19.35581395348837</v>
      </c>
      <c r="K388" s="17">
        <f>K387</f>
        <v>129</v>
      </c>
      <c r="L388" s="18">
        <f t="shared" si="128"/>
        <v>2496.8999999999996</v>
      </c>
      <c r="M388" s="21">
        <f>M387</f>
        <v>196.8</v>
      </c>
      <c r="N388" s="21">
        <f t="shared" si="129"/>
        <v>2693.7</v>
      </c>
    </row>
    <row r="389" spans="1:14" ht="12.75">
      <c r="A389" s="7"/>
      <c r="B389" s="5" t="s">
        <v>155</v>
      </c>
      <c r="C389" s="5">
        <v>11192.7</v>
      </c>
      <c r="D389" s="10">
        <f>C389/I389</f>
        <v>86.76511627906977</v>
      </c>
      <c r="E389" s="10"/>
      <c r="F389" s="10"/>
      <c r="G389" s="10">
        <f>11422.9-E389-C389-M389</f>
        <v>230.1999999999989</v>
      </c>
      <c r="H389" s="10">
        <f>G389/I389</f>
        <v>1.7844961240309993</v>
      </c>
      <c r="I389" s="73">
        <f t="shared" si="120"/>
        <v>129</v>
      </c>
      <c r="J389" s="10">
        <f>(D389+F389+H389)</f>
        <v>88.54961240310077</v>
      </c>
      <c r="K389" s="17">
        <f>K387</f>
        <v>129</v>
      </c>
      <c r="L389" s="18">
        <f t="shared" si="128"/>
        <v>11422.9</v>
      </c>
      <c r="M389" s="21"/>
      <c r="N389" s="21">
        <f t="shared" si="129"/>
        <v>11422.9</v>
      </c>
    </row>
    <row r="390" spans="1:14" ht="12.75">
      <c r="A390" s="7">
        <v>61</v>
      </c>
      <c r="B390" s="5" t="s">
        <v>123</v>
      </c>
      <c r="C390" s="9">
        <f aca="true" t="shared" si="137" ref="C390:H390">C391+C392</f>
        <v>11347.1</v>
      </c>
      <c r="D390" s="9">
        <f t="shared" si="137"/>
        <v>151.29466666666667</v>
      </c>
      <c r="E390" s="9">
        <f t="shared" si="137"/>
        <v>430.6</v>
      </c>
      <c r="F390" s="9">
        <f t="shared" si="137"/>
        <v>5.741333333333333</v>
      </c>
      <c r="G390" s="9">
        <f t="shared" si="137"/>
        <v>649.4000000000005</v>
      </c>
      <c r="H390" s="9">
        <f t="shared" si="137"/>
        <v>8.658666666666674</v>
      </c>
      <c r="I390" s="28">
        <f t="shared" si="120"/>
        <v>75</v>
      </c>
      <c r="J390" s="9">
        <f>J391+J392</f>
        <v>165.69466666666668</v>
      </c>
      <c r="K390" s="74">
        <v>75</v>
      </c>
      <c r="L390" s="9">
        <f t="shared" si="128"/>
        <v>12427.1</v>
      </c>
      <c r="M390" s="19">
        <v>247.7</v>
      </c>
      <c r="N390" s="19">
        <f t="shared" si="129"/>
        <v>12674.800000000001</v>
      </c>
    </row>
    <row r="391" spans="1:14" ht="12.75">
      <c r="A391" s="7"/>
      <c r="B391" s="5" t="s">
        <v>7</v>
      </c>
      <c r="C391" s="5">
        <v>1907.7</v>
      </c>
      <c r="D391" s="10">
        <f>C391/I391</f>
        <v>25.436</v>
      </c>
      <c r="E391" s="10">
        <v>430.6</v>
      </c>
      <c r="F391" s="54">
        <f>E391/I391</f>
        <v>5.741333333333333</v>
      </c>
      <c r="G391" s="10">
        <f>3123.2-E391-C391-M391</f>
        <v>537.1999999999998</v>
      </c>
      <c r="H391" s="10">
        <f>G391/I391</f>
        <v>7.162666666666664</v>
      </c>
      <c r="I391" s="73">
        <f t="shared" si="120"/>
        <v>75</v>
      </c>
      <c r="J391" s="10">
        <f>(D391+F391+H391)</f>
        <v>38.339999999999996</v>
      </c>
      <c r="K391" s="17">
        <f>K390</f>
        <v>75</v>
      </c>
      <c r="L391" s="18">
        <f t="shared" si="128"/>
        <v>2875.4999999999995</v>
      </c>
      <c r="M391" s="21">
        <f>M390</f>
        <v>247.7</v>
      </c>
      <c r="N391" s="21">
        <f t="shared" si="129"/>
        <v>3123.1999999999994</v>
      </c>
    </row>
    <row r="392" spans="1:14" ht="12.75">
      <c r="A392" s="7"/>
      <c r="B392" s="5" t="s">
        <v>155</v>
      </c>
      <c r="C392" s="5">
        <v>9439.4</v>
      </c>
      <c r="D392" s="10">
        <f>C392/I392</f>
        <v>125.85866666666666</v>
      </c>
      <c r="E392" s="10"/>
      <c r="F392" s="10"/>
      <c r="G392" s="10">
        <f>9551.6-E392-C392-M392</f>
        <v>112.20000000000073</v>
      </c>
      <c r="H392" s="10">
        <f>G392/I392</f>
        <v>1.4960000000000098</v>
      </c>
      <c r="I392" s="73">
        <f t="shared" si="120"/>
        <v>75</v>
      </c>
      <c r="J392" s="10">
        <f>(D392+F392+H392)</f>
        <v>127.35466666666667</v>
      </c>
      <c r="K392" s="17">
        <f>K390</f>
        <v>75</v>
      </c>
      <c r="L392" s="18">
        <f t="shared" si="128"/>
        <v>9551.6</v>
      </c>
      <c r="M392" s="21"/>
      <c r="N392" s="21">
        <f t="shared" si="129"/>
        <v>9551.6</v>
      </c>
    </row>
    <row r="393" spans="1:14" ht="12.75">
      <c r="A393" s="7">
        <v>62</v>
      </c>
      <c r="B393" s="5" t="s">
        <v>124</v>
      </c>
      <c r="C393" s="9">
        <f aca="true" t="shared" si="138" ref="C393:H393">C394+C395</f>
        <v>3367.3999999999996</v>
      </c>
      <c r="D393" s="9">
        <f t="shared" si="138"/>
        <v>177.2315789473684</v>
      </c>
      <c r="E393" s="9">
        <f t="shared" si="138"/>
        <v>126.8</v>
      </c>
      <c r="F393" s="9">
        <f t="shared" si="138"/>
        <v>6.673684210526315</v>
      </c>
      <c r="G393" s="9">
        <f t="shared" si="138"/>
        <v>216.20000000000005</v>
      </c>
      <c r="H393" s="9">
        <f t="shared" si="138"/>
        <v>11.378947368421054</v>
      </c>
      <c r="I393" s="28">
        <f t="shared" si="120"/>
        <v>19</v>
      </c>
      <c r="J393" s="9">
        <f>J394+J395</f>
        <v>195.28421052631577</v>
      </c>
      <c r="K393" s="74">
        <v>19</v>
      </c>
      <c r="L393" s="9">
        <f t="shared" si="128"/>
        <v>3710.3999999999996</v>
      </c>
      <c r="M393" s="19">
        <v>48</v>
      </c>
      <c r="N393" s="19">
        <f t="shared" si="129"/>
        <v>3758.3999999999996</v>
      </c>
    </row>
    <row r="394" spans="1:14" ht="12.75">
      <c r="A394" s="7"/>
      <c r="B394" s="5" t="s">
        <v>7</v>
      </c>
      <c r="C394" s="5">
        <v>905.7</v>
      </c>
      <c r="D394" s="10">
        <f>C394/I394</f>
        <v>47.66842105263158</v>
      </c>
      <c r="E394" s="10">
        <v>126.8</v>
      </c>
      <c r="F394" s="54">
        <f>E394/I394</f>
        <v>6.673684210526315</v>
      </c>
      <c r="G394" s="10">
        <f>1264.3-E394-C394-M394</f>
        <v>183.79999999999995</v>
      </c>
      <c r="H394" s="10">
        <f>G394/I394</f>
        <v>9.673684210526313</v>
      </c>
      <c r="I394" s="73">
        <f t="shared" si="120"/>
        <v>19</v>
      </c>
      <c r="J394" s="10">
        <f>(D394+F394+H394)</f>
        <v>64.01578947368421</v>
      </c>
      <c r="K394" s="17">
        <f>K393</f>
        <v>19</v>
      </c>
      <c r="L394" s="18">
        <f t="shared" si="128"/>
        <v>1216.3</v>
      </c>
      <c r="M394" s="21">
        <f>M393</f>
        <v>48</v>
      </c>
      <c r="N394" s="21">
        <f t="shared" si="129"/>
        <v>1264.3</v>
      </c>
    </row>
    <row r="395" spans="1:14" ht="12.75">
      <c r="A395" s="7"/>
      <c r="B395" s="5" t="s">
        <v>155</v>
      </c>
      <c r="C395" s="5">
        <v>2461.7</v>
      </c>
      <c r="D395" s="10">
        <f>C395/I395</f>
        <v>129.56315789473683</v>
      </c>
      <c r="E395" s="10"/>
      <c r="F395" s="10"/>
      <c r="G395" s="10">
        <f>2494.1-E395-C395-M395</f>
        <v>32.40000000000009</v>
      </c>
      <c r="H395" s="10">
        <f>G395/I395</f>
        <v>1.7052631578947417</v>
      </c>
      <c r="I395" s="73">
        <f t="shared" si="120"/>
        <v>19</v>
      </c>
      <c r="J395" s="10">
        <f>(D395+F395+H395)</f>
        <v>131.26842105263157</v>
      </c>
      <c r="K395" s="17">
        <f>K393</f>
        <v>19</v>
      </c>
      <c r="L395" s="18">
        <f t="shared" si="128"/>
        <v>2494.1</v>
      </c>
      <c r="M395" s="19"/>
      <c r="N395" s="21">
        <f t="shared" si="129"/>
        <v>2494.1</v>
      </c>
    </row>
    <row r="396" spans="1:14" ht="12.75">
      <c r="A396" s="7">
        <v>63</v>
      </c>
      <c r="B396" s="5" t="s">
        <v>125</v>
      </c>
      <c r="C396" s="9">
        <f aca="true" t="shared" si="139" ref="C396:H396">C397+C398</f>
        <v>10358.8</v>
      </c>
      <c r="D396" s="9">
        <f t="shared" si="139"/>
        <v>90.07652173913043</v>
      </c>
      <c r="E396" s="9">
        <f t="shared" si="139"/>
        <v>352.5</v>
      </c>
      <c r="F396" s="9">
        <f t="shared" si="139"/>
        <v>3.0652173913043477</v>
      </c>
      <c r="G396" s="9">
        <f t="shared" si="139"/>
        <v>549.4999999999994</v>
      </c>
      <c r="H396" s="9">
        <f t="shared" si="139"/>
        <v>4.778260869565212</v>
      </c>
      <c r="I396" s="28">
        <f t="shared" si="120"/>
        <v>115</v>
      </c>
      <c r="J396" s="9">
        <f>J397+J398</f>
        <v>97.91999999999999</v>
      </c>
      <c r="K396" s="74">
        <v>115</v>
      </c>
      <c r="L396" s="9">
        <f t="shared" si="128"/>
        <v>11260.8</v>
      </c>
      <c r="M396" s="19">
        <v>165.6</v>
      </c>
      <c r="N396" s="19">
        <f t="shared" si="129"/>
        <v>11426.4</v>
      </c>
    </row>
    <row r="397" spans="1:14" ht="12.75">
      <c r="A397" s="7"/>
      <c r="B397" s="5" t="s">
        <v>7</v>
      </c>
      <c r="C397" s="5">
        <v>1855.4</v>
      </c>
      <c r="D397" s="10">
        <f>C397/I397</f>
        <v>16.133913043478262</v>
      </c>
      <c r="E397" s="10">
        <v>352.5</v>
      </c>
      <c r="F397" s="54">
        <f>E397/I397</f>
        <v>3.0652173913043477</v>
      </c>
      <c r="G397" s="10">
        <f>2727.1-E397-C397-M397</f>
        <v>353.5999999999998</v>
      </c>
      <c r="H397" s="10">
        <f>G397/I397</f>
        <v>3.0747826086956502</v>
      </c>
      <c r="I397" s="73">
        <f t="shared" si="120"/>
        <v>115</v>
      </c>
      <c r="J397" s="10">
        <f>(D397+F397+H397)</f>
        <v>22.27391304347826</v>
      </c>
      <c r="K397" s="17">
        <f>K396</f>
        <v>115</v>
      </c>
      <c r="L397" s="18">
        <f t="shared" si="128"/>
        <v>2561.5</v>
      </c>
      <c r="M397" s="21">
        <f>M396</f>
        <v>165.6</v>
      </c>
      <c r="N397" s="21">
        <f t="shared" si="129"/>
        <v>2727.1</v>
      </c>
    </row>
    <row r="398" spans="1:14" ht="12.75">
      <c r="A398" s="7"/>
      <c r="B398" s="5" t="s">
        <v>155</v>
      </c>
      <c r="C398" s="5">
        <v>8503.4</v>
      </c>
      <c r="D398" s="10">
        <f>C398/I398</f>
        <v>73.94260869565217</v>
      </c>
      <c r="E398" s="10"/>
      <c r="F398" s="10"/>
      <c r="G398" s="10">
        <f>8699.3-E398-C398-M398</f>
        <v>195.89999999999964</v>
      </c>
      <c r="H398" s="10">
        <f>G398/I398</f>
        <v>1.703478260869562</v>
      </c>
      <c r="I398" s="73">
        <f t="shared" si="120"/>
        <v>115</v>
      </c>
      <c r="J398" s="10">
        <f>(D398+F398+H398)</f>
        <v>75.64608695652173</v>
      </c>
      <c r="K398" s="17">
        <f>K396</f>
        <v>115</v>
      </c>
      <c r="L398" s="18">
        <f t="shared" si="128"/>
        <v>8699.3</v>
      </c>
      <c r="M398" s="21"/>
      <c r="N398" s="21">
        <f t="shared" si="129"/>
        <v>8699.3</v>
      </c>
    </row>
    <row r="399" spans="1:14" ht="12.75">
      <c r="A399" s="7">
        <v>64</v>
      </c>
      <c r="B399" s="5" t="s">
        <v>126</v>
      </c>
      <c r="C399" s="9">
        <f aca="true" t="shared" si="140" ref="C399:H399">C400+C401</f>
        <v>11672.9</v>
      </c>
      <c r="D399" s="9">
        <f t="shared" si="140"/>
        <v>95.6795081967213</v>
      </c>
      <c r="E399" s="9">
        <f t="shared" si="140"/>
        <v>403.2</v>
      </c>
      <c r="F399" s="9">
        <f t="shared" si="140"/>
        <v>3.304918032786885</v>
      </c>
      <c r="G399" s="9">
        <f t="shared" si="140"/>
        <v>623.5000000000016</v>
      </c>
      <c r="H399" s="9">
        <f t="shared" si="140"/>
        <v>5.110655737704931</v>
      </c>
      <c r="I399" s="28">
        <f t="shared" si="120"/>
        <v>122</v>
      </c>
      <c r="J399" s="9">
        <f>J400+J401</f>
        <v>104.09508196721312</v>
      </c>
      <c r="K399" s="74">
        <v>122</v>
      </c>
      <c r="L399" s="9">
        <f t="shared" si="128"/>
        <v>12699.6</v>
      </c>
      <c r="M399" s="19">
        <v>329.3</v>
      </c>
      <c r="N399" s="19">
        <f t="shared" si="129"/>
        <v>13028.9</v>
      </c>
    </row>
    <row r="400" spans="1:14" ht="12.75">
      <c r="A400" s="7"/>
      <c r="B400" s="5" t="s">
        <v>7</v>
      </c>
      <c r="C400" s="5">
        <v>1883.6</v>
      </c>
      <c r="D400" s="10">
        <f>C400/I400</f>
        <v>15.439344262295082</v>
      </c>
      <c r="E400" s="10">
        <v>403.2</v>
      </c>
      <c r="F400" s="54">
        <f>E400/I400</f>
        <v>3.304918032786885</v>
      </c>
      <c r="G400" s="10">
        <f>3058.3-E400-C400-M400</f>
        <v>442.20000000000044</v>
      </c>
      <c r="H400" s="10">
        <f>G400/I400</f>
        <v>3.62459016393443</v>
      </c>
      <c r="I400" s="73">
        <f t="shared" si="120"/>
        <v>122</v>
      </c>
      <c r="J400" s="10">
        <f>(D400+F400+H400)</f>
        <v>22.368852459016395</v>
      </c>
      <c r="K400" s="17">
        <f>K399</f>
        <v>122</v>
      </c>
      <c r="L400" s="18">
        <f t="shared" si="128"/>
        <v>2729</v>
      </c>
      <c r="M400" s="21">
        <f>M399</f>
        <v>329.3</v>
      </c>
      <c r="N400" s="21">
        <f t="shared" si="129"/>
        <v>3058.3</v>
      </c>
    </row>
    <row r="401" spans="1:14" ht="12.75">
      <c r="A401" s="7"/>
      <c r="B401" s="5" t="s">
        <v>155</v>
      </c>
      <c r="C401" s="5">
        <v>9789.3</v>
      </c>
      <c r="D401" s="10">
        <f>C401/I401</f>
        <v>80.24016393442622</v>
      </c>
      <c r="E401" s="10"/>
      <c r="F401" s="10"/>
      <c r="G401" s="10">
        <f>9970.6-E401-C401-M401</f>
        <v>181.3000000000011</v>
      </c>
      <c r="H401" s="10">
        <f>G401/I401</f>
        <v>1.4860655737705009</v>
      </c>
      <c r="I401" s="73">
        <f t="shared" si="120"/>
        <v>122</v>
      </c>
      <c r="J401" s="10">
        <f>(D401+F401+H401)</f>
        <v>81.72622950819672</v>
      </c>
      <c r="K401" s="17">
        <f>K399</f>
        <v>122</v>
      </c>
      <c r="L401" s="18">
        <f t="shared" si="128"/>
        <v>9970.6</v>
      </c>
      <c r="M401" s="21"/>
      <c r="N401" s="21">
        <f t="shared" si="129"/>
        <v>9970.6</v>
      </c>
    </row>
    <row r="402" spans="1:14" ht="12.75">
      <c r="A402" s="7">
        <v>65</v>
      </c>
      <c r="B402" s="5" t="s">
        <v>127</v>
      </c>
      <c r="C402" s="9">
        <f aca="true" t="shared" si="141" ref="C402:H402">C403+C404</f>
        <v>3376.8</v>
      </c>
      <c r="D402" s="9">
        <f t="shared" si="141"/>
        <v>168.84</v>
      </c>
      <c r="E402" s="9">
        <f t="shared" si="141"/>
        <v>165</v>
      </c>
      <c r="F402" s="9">
        <f t="shared" si="141"/>
        <v>8.25</v>
      </c>
      <c r="G402" s="9">
        <f t="shared" si="141"/>
        <v>307.3</v>
      </c>
      <c r="H402" s="9">
        <f t="shared" si="141"/>
        <v>15.365</v>
      </c>
      <c r="I402" s="28">
        <f t="shared" si="120"/>
        <v>20</v>
      </c>
      <c r="J402" s="9">
        <f>J403+J404</f>
        <v>192.45499999999998</v>
      </c>
      <c r="K402" s="74">
        <v>20</v>
      </c>
      <c r="L402" s="9">
        <f t="shared" si="128"/>
        <v>3849.0999999999995</v>
      </c>
      <c r="M402" s="19">
        <v>64.2</v>
      </c>
      <c r="N402" s="19">
        <f t="shared" si="129"/>
        <v>3913.2999999999993</v>
      </c>
    </row>
    <row r="403" spans="1:14" ht="12.75">
      <c r="A403" s="7"/>
      <c r="B403" s="5" t="s">
        <v>7</v>
      </c>
      <c r="C403" s="5">
        <v>1056.7</v>
      </c>
      <c r="D403" s="10">
        <f>C403/I403</f>
        <v>52.835</v>
      </c>
      <c r="E403" s="10">
        <v>165</v>
      </c>
      <c r="F403" s="54">
        <f>E403/I403</f>
        <v>8.25</v>
      </c>
      <c r="G403" s="10">
        <f>1560.3-E403-C403-M403</f>
        <v>274.3999999999999</v>
      </c>
      <c r="H403" s="10">
        <f>G403/I403</f>
        <v>13.719999999999995</v>
      </c>
      <c r="I403" s="73">
        <f t="shared" si="120"/>
        <v>20</v>
      </c>
      <c r="J403" s="10">
        <f>(D403+F403+H403)</f>
        <v>74.80499999999999</v>
      </c>
      <c r="K403" s="17">
        <f>K402</f>
        <v>20</v>
      </c>
      <c r="L403" s="18">
        <f t="shared" si="128"/>
        <v>1496.1</v>
      </c>
      <c r="M403" s="21">
        <f>M402</f>
        <v>64.2</v>
      </c>
      <c r="N403" s="21">
        <f t="shared" si="129"/>
        <v>1560.3</v>
      </c>
    </row>
    <row r="404" spans="1:14" ht="12.75">
      <c r="A404" s="7"/>
      <c r="B404" s="5" t="s">
        <v>155</v>
      </c>
      <c r="C404" s="5">
        <v>2320.1</v>
      </c>
      <c r="D404" s="10">
        <f>C404/I404</f>
        <v>116.005</v>
      </c>
      <c r="E404" s="10"/>
      <c r="F404" s="10"/>
      <c r="G404" s="10">
        <f>2353-E404-C404-M404</f>
        <v>32.90000000000009</v>
      </c>
      <c r="H404" s="10">
        <f>G404/I404</f>
        <v>1.6450000000000045</v>
      </c>
      <c r="I404" s="73">
        <f t="shared" si="120"/>
        <v>20</v>
      </c>
      <c r="J404" s="10">
        <f>(D404+F404+H404)</f>
        <v>117.65</v>
      </c>
      <c r="K404" s="17">
        <f>K402</f>
        <v>20</v>
      </c>
      <c r="L404" s="18">
        <f t="shared" si="128"/>
        <v>2353</v>
      </c>
      <c r="M404" s="21"/>
      <c r="N404" s="21">
        <f t="shared" si="129"/>
        <v>2353</v>
      </c>
    </row>
    <row r="405" spans="1:14" ht="12.75">
      <c r="A405" s="7">
        <v>66</v>
      </c>
      <c r="B405" s="5" t="s">
        <v>128</v>
      </c>
      <c r="C405" s="9">
        <f aca="true" t="shared" si="142" ref="C405:H405">C406+C407</f>
        <v>3099.7</v>
      </c>
      <c r="D405" s="9">
        <f t="shared" si="142"/>
        <v>134.76956521739132</v>
      </c>
      <c r="E405" s="9">
        <f t="shared" si="142"/>
        <v>260.3</v>
      </c>
      <c r="F405" s="9">
        <f t="shared" si="142"/>
        <v>11.317391304347826</v>
      </c>
      <c r="G405" s="9">
        <f t="shared" si="142"/>
        <v>706.3999999999997</v>
      </c>
      <c r="H405" s="9">
        <f t="shared" si="142"/>
        <v>30.713043478260857</v>
      </c>
      <c r="I405" s="28">
        <f t="shared" si="120"/>
        <v>23</v>
      </c>
      <c r="J405" s="9">
        <f>J406+J407</f>
        <v>176.8</v>
      </c>
      <c r="K405" s="74">
        <v>23</v>
      </c>
      <c r="L405" s="9">
        <f t="shared" si="128"/>
        <v>4066.4</v>
      </c>
      <c r="M405" s="19">
        <v>619.1</v>
      </c>
      <c r="N405" s="19">
        <f t="shared" si="129"/>
        <v>4685.5</v>
      </c>
    </row>
    <row r="406" spans="1:14" ht="12.75">
      <c r="A406" s="7"/>
      <c r="B406" s="5" t="s">
        <v>7</v>
      </c>
      <c r="C406" s="5">
        <v>993.8</v>
      </c>
      <c r="D406" s="10">
        <f>C406/I406</f>
        <v>43.20869565217391</v>
      </c>
      <c r="E406" s="10">
        <v>260.3</v>
      </c>
      <c r="F406" s="54">
        <f>E406/I406</f>
        <v>11.317391304347826</v>
      </c>
      <c r="G406" s="10">
        <f>2542-E406-C406-M406</f>
        <v>668.7999999999998</v>
      </c>
      <c r="H406" s="10">
        <f>G406/I406</f>
        <v>29.07826086956521</v>
      </c>
      <c r="I406" s="73">
        <f t="shared" si="120"/>
        <v>23</v>
      </c>
      <c r="J406" s="10">
        <f>(D406+F406+H406)</f>
        <v>83.60434782608695</v>
      </c>
      <c r="K406" s="17">
        <f>K405</f>
        <v>23</v>
      </c>
      <c r="L406" s="18">
        <f t="shared" si="128"/>
        <v>1922.8999999999999</v>
      </c>
      <c r="M406" s="21">
        <f>M405</f>
        <v>619.1</v>
      </c>
      <c r="N406" s="21">
        <f t="shared" si="129"/>
        <v>2542</v>
      </c>
    </row>
    <row r="407" spans="1:14" ht="12.75">
      <c r="A407" s="7"/>
      <c r="B407" s="5" t="s">
        <v>155</v>
      </c>
      <c r="C407" s="5">
        <v>2105.9</v>
      </c>
      <c r="D407" s="10">
        <f>C407/I407</f>
        <v>91.5608695652174</v>
      </c>
      <c r="E407" s="10"/>
      <c r="F407" s="10"/>
      <c r="G407" s="10">
        <f>2143.5-E407-C407-M407</f>
        <v>37.59999999999991</v>
      </c>
      <c r="H407" s="10">
        <f>G407/I407</f>
        <v>1.6347826086956483</v>
      </c>
      <c r="I407" s="73">
        <f t="shared" si="120"/>
        <v>23</v>
      </c>
      <c r="J407" s="10">
        <f>(D407+F407+H407)</f>
        <v>93.19565217391305</v>
      </c>
      <c r="K407" s="17">
        <f>K405</f>
        <v>23</v>
      </c>
      <c r="L407" s="18">
        <f t="shared" si="128"/>
        <v>2143.5</v>
      </c>
      <c r="M407" s="21"/>
      <c r="N407" s="21">
        <f t="shared" si="129"/>
        <v>2143.5</v>
      </c>
    </row>
    <row r="408" spans="1:14" ht="12.75">
      <c r="A408" s="7">
        <v>67</v>
      </c>
      <c r="B408" s="5" t="s">
        <v>129</v>
      </c>
      <c r="C408" s="9">
        <f aca="true" t="shared" si="143" ref="C408:H408">C409+C410</f>
        <v>6698.8</v>
      </c>
      <c r="D408" s="9">
        <f t="shared" si="143"/>
        <v>152.24545454545455</v>
      </c>
      <c r="E408" s="9">
        <f t="shared" si="143"/>
        <v>298.2</v>
      </c>
      <c r="F408" s="9">
        <f t="shared" si="143"/>
        <v>6.777272727272727</v>
      </c>
      <c r="G408" s="9">
        <f t="shared" si="143"/>
        <v>476.60000000000025</v>
      </c>
      <c r="H408" s="9">
        <f t="shared" si="143"/>
        <v>10.831818181818187</v>
      </c>
      <c r="I408" s="28">
        <f t="shared" si="120"/>
        <v>44</v>
      </c>
      <c r="J408" s="9">
        <f>J409+J410</f>
        <v>169.85454545454547</v>
      </c>
      <c r="K408" s="74">
        <v>44</v>
      </c>
      <c r="L408" s="9">
        <f t="shared" si="128"/>
        <v>7473.6</v>
      </c>
      <c r="M408" s="19">
        <v>204.9</v>
      </c>
      <c r="N408" s="19">
        <f t="shared" si="129"/>
        <v>7678.5</v>
      </c>
    </row>
    <row r="409" spans="1:14" ht="12.75">
      <c r="A409" s="7"/>
      <c r="B409" s="5" t="s">
        <v>7</v>
      </c>
      <c r="C409" s="5">
        <v>1423</v>
      </c>
      <c r="D409" s="10">
        <f>C409/I409</f>
        <v>32.34090909090909</v>
      </c>
      <c r="E409" s="10">
        <v>298.2</v>
      </c>
      <c r="F409" s="54">
        <f>E409/I409</f>
        <v>6.777272727272727</v>
      </c>
      <c r="G409" s="10">
        <f>2319.9-E409-C409-M409</f>
        <v>393.80000000000007</v>
      </c>
      <c r="H409" s="10">
        <f>G409/I409</f>
        <v>8.950000000000001</v>
      </c>
      <c r="I409" s="73">
        <f aca="true" t="shared" si="144" ref="I409:I419">K409</f>
        <v>44</v>
      </c>
      <c r="J409" s="10">
        <f>(D409+F409+H409)</f>
        <v>48.06818181818183</v>
      </c>
      <c r="K409" s="17">
        <f>K408</f>
        <v>44</v>
      </c>
      <c r="L409" s="18">
        <f t="shared" si="128"/>
        <v>2115.0000000000005</v>
      </c>
      <c r="M409" s="21">
        <f>M408</f>
        <v>204.9</v>
      </c>
      <c r="N409" s="21">
        <f t="shared" si="129"/>
        <v>2319.9000000000005</v>
      </c>
    </row>
    <row r="410" spans="1:14" ht="12.75">
      <c r="A410" s="7"/>
      <c r="B410" s="5" t="s">
        <v>155</v>
      </c>
      <c r="C410" s="5">
        <v>5275.8</v>
      </c>
      <c r="D410" s="10">
        <f>C410/I410</f>
        <v>119.90454545454546</v>
      </c>
      <c r="E410" s="10"/>
      <c r="F410" s="10"/>
      <c r="G410" s="10">
        <f>5358.6-E410-C410-M410</f>
        <v>82.80000000000018</v>
      </c>
      <c r="H410" s="10">
        <f>G410/I410</f>
        <v>1.881818181818186</v>
      </c>
      <c r="I410" s="73">
        <f t="shared" si="144"/>
        <v>44</v>
      </c>
      <c r="J410" s="10">
        <f>(D410+F410+H410)</f>
        <v>121.78636363636365</v>
      </c>
      <c r="K410" s="17">
        <f>K408</f>
        <v>44</v>
      </c>
      <c r="L410" s="18">
        <f t="shared" si="128"/>
        <v>5358.6</v>
      </c>
      <c r="M410" s="19"/>
      <c r="N410" s="21">
        <f t="shared" si="129"/>
        <v>5358.6</v>
      </c>
    </row>
    <row r="411" spans="1:14" ht="12.75">
      <c r="A411" s="7">
        <v>68</v>
      </c>
      <c r="B411" s="5" t="s">
        <v>139</v>
      </c>
      <c r="C411" s="9">
        <f aca="true" t="shared" si="145" ref="C411:H411">C412+C413</f>
        <v>7800.8</v>
      </c>
      <c r="D411" s="9">
        <f t="shared" si="145"/>
        <v>106.86027397260274</v>
      </c>
      <c r="E411" s="9">
        <f t="shared" si="145"/>
        <v>299.8</v>
      </c>
      <c r="F411" s="9">
        <f t="shared" si="145"/>
        <v>4.1068493150684935</v>
      </c>
      <c r="G411" s="9">
        <f t="shared" si="145"/>
        <v>705.1999999999996</v>
      </c>
      <c r="H411" s="9">
        <f t="shared" si="145"/>
        <v>9.660273972602734</v>
      </c>
      <c r="I411" s="28">
        <f t="shared" si="144"/>
        <v>73</v>
      </c>
      <c r="J411" s="9">
        <f>J412+J413</f>
        <v>120.62739726027397</v>
      </c>
      <c r="K411" s="74">
        <v>73</v>
      </c>
      <c r="L411" s="9">
        <f aca="true" t="shared" si="146" ref="L411:L419">J411*K411</f>
        <v>8805.8</v>
      </c>
      <c r="M411" s="19">
        <v>299.5</v>
      </c>
      <c r="N411" s="19">
        <f aca="true" t="shared" si="147" ref="N411:N419">L411+M411</f>
        <v>9105.3</v>
      </c>
    </row>
    <row r="412" spans="1:14" ht="12.75">
      <c r="A412" s="7"/>
      <c r="B412" s="5" t="s">
        <v>7</v>
      </c>
      <c r="C412" s="5">
        <v>1391.2</v>
      </c>
      <c r="D412" s="10">
        <f>C412/I412</f>
        <v>19.057534246575344</v>
      </c>
      <c r="E412" s="10">
        <v>299.8</v>
      </c>
      <c r="F412" s="54">
        <f>E412/I412</f>
        <v>4.1068493150684935</v>
      </c>
      <c r="G412" s="10">
        <f>2448.5-E412-C412-M412</f>
        <v>457.9999999999998</v>
      </c>
      <c r="H412" s="10">
        <f>G412/I412</f>
        <v>6.273972602739723</v>
      </c>
      <c r="I412" s="73">
        <f t="shared" si="144"/>
        <v>73</v>
      </c>
      <c r="J412" s="10">
        <f>(D412+F412+H412)</f>
        <v>29.43835616438356</v>
      </c>
      <c r="K412" s="17">
        <f>K411</f>
        <v>73</v>
      </c>
      <c r="L412" s="18">
        <f t="shared" si="146"/>
        <v>2149</v>
      </c>
      <c r="M412" s="21">
        <f>M411</f>
        <v>299.5</v>
      </c>
      <c r="N412" s="21">
        <f t="shared" si="147"/>
        <v>2448.5</v>
      </c>
    </row>
    <row r="413" spans="1:14" ht="12.75">
      <c r="A413" s="7"/>
      <c r="B413" s="5" t="s">
        <v>155</v>
      </c>
      <c r="C413" s="5">
        <f>4304.6+2105</f>
        <v>6409.6</v>
      </c>
      <c r="D413" s="10">
        <f>C413/I413</f>
        <v>87.8027397260274</v>
      </c>
      <c r="E413" s="10"/>
      <c r="F413" s="10"/>
      <c r="G413" s="10">
        <f>4551.8+2105-E413-C413-M413</f>
        <v>247.19999999999982</v>
      </c>
      <c r="H413" s="10">
        <f>G413/I413</f>
        <v>3.3863013698630113</v>
      </c>
      <c r="I413" s="73">
        <f t="shared" si="144"/>
        <v>73</v>
      </c>
      <c r="J413" s="10">
        <f>(D413+F413+H413)</f>
        <v>91.1890410958904</v>
      </c>
      <c r="K413" s="17">
        <f>K411</f>
        <v>73</v>
      </c>
      <c r="L413" s="18">
        <f t="shared" si="146"/>
        <v>6656.799999999999</v>
      </c>
      <c r="M413" s="21"/>
      <c r="N413" s="21">
        <f t="shared" si="147"/>
        <v>6656.799999999999</v>
      </c>
    </row>
    <row r="414" spans="1:14" ht="12.75">
      <c r="A414" s="7">
        <v>69</v>
      </c>
      <c r="B414" s="5" t="s">
        <v>140</v>
      </c>
      <c r="C414" s="9">
        <f aca="true" t="shared" si="148" ref="C414:H414">C415+C416</f>
        <v>4314.5</v>
      </c>
      <c r="D414" s="9">
        <f t="shared" si="148"/>
        <v>130.74242424242425</v>
      </c>
      <c r="E414" s="9">
        <f t="shared" si="148"/>
        <v>187</v>
      </c>
      <c r="F414" s="9">
        <f t="shared" si="148"/>
        <v>5.666666666666667</v>
      </c>
      <c r="G414" s="9">
        <f t="shared" si="148"/>
        <v>489.99999999999983</v>
      </c>
      <c r="H414" s="9">
        <f t="shared" si="148"/>
        <v>14.848484848484844</v>
      </c>
      <c r="I414" s="28">
        <f t="shared" si="144"/>
        <v>33</v>
      </c>
      <c r="J414" s="9">
        <f>J415+J416</f>
        <v>151.25757575757575</v>
      </c>
      <c r="K414" s="74">
        <v>33</v>
      </c>
      <c r="L414" s="9">
        <f t="shared" si="146"/>
        <v>4991.5</v>
      </c>
      <c r="M414" s="19">
        <v>263.7</v>
      </c>
      <c r="N414" s="19">
        <f t="shared" si="147"/>
        <v>5255.2</v>
      </c>
    </row>
    <row r="415" spans="1:14" ht="12.75">
      <c r="A415" s="7"/>
      <c r="B415" s="5" t="s">
        <v>7</v>
      </c>
      <c r="C415" s="5">
        <v>1089.5</v>
      </c>
      <c r="D415" s="10">
        <f>C415/I415</f>
        <v>33.015151515151516</v>
      </c>
      <c r="E415" s="10">
        <v>187</v>
      </c>
      <c r="F415" s="54">
        <f>E415/I415</f>
        <v>5.666666666666667</v>
      </c>
      <c r="G415" s="10">
        <f>1967.5-E415-C415-M415</f>
        <v>427.3</v>
      </c>
      <c r="H415" s="10">
        <f>G415/I415</f>
        <v>12.94848484848485</v>
      </c>
      <c r="I415" s="73">
        <f t="shared" si="144"/>
        <v>33</v>
      </c>
      <c r="J415" s="10">
        <f>(D415+F415+H415)</f>
        <v>51.630303030303025</v>
      </c>
      <c r="K415" s="17">
        <f>K414</f>
        <v>33</v>
      </c>
      <c r="L415" s="18">
        <f t="shared" si="146"/>
        <v>1703.7999999999997</v>
      </c>
      <c r="M415" s="21">
        <f>M414</f>
        <v>263.7</v>
      </c>
      <c r="N415" s="21">
        <f t="shared" si="147"/>
        <v>1967.4999999999998</v>
      </c>
    </row>
    <row r="416" spans="1:14" ht="12.75">
      <c r="A416" s="11"/>
      <c r="B416" s="5" t="s">
        <v>155</v>
      </c>
      <c r="C416" s="5">
        <v>3225</v>
      </c>
      <c r="D416" s="10">
        <f>C416/I416</f>
        <v>97.72727272727273</v>
      </c>
      <c r="E416" s="10"/>
      <c r="F416" s="10"/>
      <c r="G416" s="10">
        <f>3287.7-E416-C416-M416</f>
        <v>62.69999999999982</v>
      </c>
      <c r="H416" s="10">
        <f>G416/I416</f>
        <v>1.8999999999999946</v>
      </c>
      <c r="I416" s="73">
        <f t="shared" si="144"/>
        <v>33</v>
      </c>
      <c r="J416" s="10">
        <f>(D416+F416+H416)</f>
        <v>99.62727272727273</v>
      </c>
      <c r="K416" s="17">
        <f>K414</f>
        <v>33</v>
      </c>
      <c r="L416" s="18">
        <f t="shared" si="146"/>
        <v>3287.7</v>
      </c>
      <c r="M416" s="19"/>
      <c r="N416" s="21">
        <f t="shared" si="147"/>
        <v>3287.7</v>
      </c>
    </row>
    <row r="417" spans="1:14" ht="12.75">
      <c r="A417" s="11">
        <v>70</v>
      </c>
      <c r="B417" s="5" t="s">
        <v>157</v>
      </c>
      <c r="C417" s="9">
        <f aca="true" t="shared" si="149" ref="C417:H417">C418+C419</f>
        <v>19680.5</v>
      </c>
      <c r="D417" s="9">
        <f t="shared" si="149"/>
        <v>103.58157894736843</v>
      </c>
      <c r="E417" s="9">
        <f t="shared" si="149"/>
        <v>437.9</v>
      </c>
      <c r="F417" s="9">
        <f t="shared" si="149"/>
        <v>2.304736842105263</v>
      </c>
      <c r="G417" s="9">
        <f t="shared" si="149"/>
        <v>5205.099999999997</v>
      </c>
      <c r="H417" s="9">
        <f t="shared" si="149"/>
        <v>27.39526315789472</v>
      </c>
      <c r="I417" s="28">
        <f t="shared" si="144"/>
        <v>190</v>
      </c>
      <c r="J417" s="9">
        <f>J418+J419</f>
        <v>133.28157894736842</v>
      </c>
      <c r="K417" s="74">
        <v>190</v>
      </c>
      <c r="L417" s="9">
        <f t="shared" si="146"/>
        <v>25323.5</v>
      </c>
      <c r="M417" s="19">
        <v>3351.9</v>
      </c>
      <c r="N417" s="19">
        <f t="shared" si="147"/>
        <v>28675.4</v>
      </c>
    </row>
    <row r="418" spans="1:14" ht="12.75">
      <c r="A418" s="11"/>
      <c r="B418" s="5" t="s">
        <v>7</v>
      </c>
      <c r="C418" s="5">
        <v>2461.1</v>
      </c>
      <c r="D418" s="10">
        <f>C418/I418</f>
        <v>12.953157894736842</v>
      </c>
      <c r="E418" s="10">
        <v>437.9</v>
      </c>
      <c r="F418" s="54">
        <f>E418/I418</f>
        <v>2.304736842105263</v>
      </c>
      <c r="G418" s="10">
        <f>11043.8-E418-C418-M418</f>
        <v>4792.9</v>
      </c>
      <c r="H418" s="10">
        <f>G418/I418</f>
        <v>25.22578947368421</v>
      </c>
      <c r="I418" s="73">
        <f t="shared" si="144"/>
        <v>190</v>
      </c>
      <c r="J418" s="10">
        <f>(D418+F418+H418)</f>
        <v>40.48368421052631</v>
      </c>
      <c r="K418" s="17">
        <f>K417</f>
        <v>190</v>
      </c>
      <c r="L418" s="18">
        <f t="shared" si="146"/>
        <v>7691.9</v>
      </c>
      <c r="M418" s="21">
        <f>M417</f>
        <v>3351.9</v>
      </c>
      <c r="N418" s="21">
        <f t="shared" si="147"/>
        <v>11043.8</v>
      </c>
    </row>
    <row r="419" spans="1:14" ht="12.75">
      <c r="A419" s="11"/>
      <c r="B419" s="5" t="s">
        <v>155</v>
      </c>
      <c r="C419" s="5">
        <f>14647.9+2571.5</f>
        <v>17219.4</v>
      </c>
      <c r="D419" s="10">
        <f>C419/I419</f>
        <v>90.62842105263158</v>
      </c>
      <c r="E419" s="10"/>
      <c r="F419" s="10"/>
      <c r="G419" s="10">
        <f>15060.1+2571.5-E419-C419-M419</f>
        <v>412.1999999999971</v>
      </c>
      <c r="H419" s="10">
        <f>G419/I419</f>
        <v>2.169473684210511</v>
      </c>
      <c r="I419" s="73">
        <f t="shared" si="144"/>
        <v>190</v>
      </c>
      <c r="J419" s="10">
        <f>(D419+F419+H419)</f>
        <v>92.7978947368421</v>
      </c>
      <c r="K419" s="17">
        <f>K417</f>
        <v>190</v>
      </c>
      <c r="L419" s="18">
        <f t="shared" si="146"/>
        <v>17631.6</v>
      </c>
      <c r="M419" s="19"/>
      <c r="N419" s="21">
        <f t="shared" si="147"/>
        <v>17631.6</v>
      </c>
    </row>
    <row r="420" spans="1:14" ht="12">
      <c r="A420" s="37"/>
      <c r="B420" s="5" t="s">
        <v>158</v>
      </c>
      <c r="C420" s="38">
        <f>C414+C411+C408+C405+C402+C399+C396+C393+C390+C387+C384+C381+C378+C375+C372+C369+C366+C363+C360+C357+C354+C351+C348+C345+C342+C339+C336+C333+C330+C327+C324+C321+C318+C315+C312+C309+C306+C303+C300+C297+C294+C291+C288+C285+C282+C279+C276+C273+C270+C267+C264+C261+C258+C255+C252+C249+C246+C243+C240+C237+C234+C231+C228+C225+C222+C219+C216+C213+C210+C417</f>
        <v>902819.4</v>
      </c>
      <c r="D420" s="38"/>
      <c r="E420" s="38">
        <f>E414+E411+E408+E405+E402+E399+E396+E393+E390+E387+E384+E381+E378+E375+E372+E369+E366+E363+E360+E357+E354+E351+E348+E345+E342+E339+E336+E333+E330+E327+E324+E321+E318+E315+E312+E309+E306+E303+E300+E297+E294+E291+E288+E285+E282+E279+E276+E273+E270+E267+E264+E261+E258+E255+E252+E249+E246+E243+E240+E237+E234+E231+E228+E225+E222+E219+E216+E213+E210+E417</f>
        <v>35397.9</v>
      </c>
      <c r="F420" s="37"/>
      <c r="G420" s="38">
        <f>G414+G411+G408+G405+G402+G399+G396+G393+G390+G387+G384+G381+G378+G375+G372+G369+G366+G363+G360+G357+G354+G351+G348+G345+G342+G339+G336+G333+G330+G327+G324+G321+G318+G315+G312+G309+G306+G303+G300+G297+G294+G291+G288+G285+G282+G279+G276+G273+G270+G267+G264+G261+G258+G255+G252+G249+G246+G243+G240+G237+G234+G231+G228+G225+G222+G219+G216+G213+G210+G417</f>
        <v>54713.00000000001</v>
      </c>
      <c r="H420" s="37"/>
      <c r="I420" s="37"/>
      <c r="J420" s="37"/>
      <c r="K420" s="41">
        <f>K414+K411+K408+K405+K402+K399+K396+K393+K390+K387+K384+K381+K378+K375+K372+K369+K366+K363+K360+K357+K354+K351+K348+K345+K342+K339+K336+K333+K330+K327+K324+K321+K318+K315+K312+K309+K306+K303+K300+K297+K294+K291+K288+K285+K282+K279+K276+K273+K270+K267+K264+K261+K258+K255+K252+K249+K246+K243+K240+K237+K234+K231+K228+K225+K222+K219+K216+K213+K210+K417</f>
        <v>9041</v>
      </c>
      <c r="L420" s="75">
        <f>L414+L411+L408+L405+L402+L399+L396+L393+L390+L387+L384+L381+L378+L375+L372+L369+L366+L363+L360+L357+L354+L351+L348+L345+L342+L339+L336+L333+L330+L327+L324+L321+L318+L315+L312+L309+L306+L303+L300+L297+L294+L291+L288+L285+L282+L279+L276+L273+L270+L267+L264+L261+L258+L255+L252+L249+L246+L243+L240+L237+L234+L231+L228+L225+L222+L219+L216+L213+L210+L417</f>
        <v>992930.3</v>
      </c>
      <c r="M420" s="75">
        <f>M414+M411+M408+M405+M402+M399+M396+M393+M390+M387+M384+M381+M378+M375+M372+M369+M366+M363+M360+M357+M354+M351+M348+M345+M342+M339+M336+M333+M330+M327+M324+M321+M318+M315+M312+M309+M306+M303+M300+M297+M294+M291+M288+M285+M282+M279+M276+M273+M270+M267+M264+M261+M258+M255+M252+M249+M246+M243+M240+M237+M234+M231+M228+M225+M222+M219+M216+M213+M210+M417</f>
        <v>29019.50000000001</v>
      </c>
      <c r="N420" s="75">
        <f>N414+N411+N408+N405+N402+N399+N396+N393+N390+N387+N384+N381+N378+N375+N372+N369+N366+N363+N360+N357+N354+N351+N348+N345+N342+N339+N336+N333+N330+N327+N324+N321+N318+N315+N312+N309+N306+N303+N300+N297+N294+N291+N288+N285+N282+N279+N276+N273+N270+N267+N264+N261+N258+N255+N252+N249+N246+N243+N240+N237+N234+N231+N228+N225+N222+N219+N216+N213+N210+N417</f>
        <v>1021949.8</v>
      </c>
    </row>
    <row r="421" spans="1:14" ht="12">
      <c r="A421" s="37"/>
      <c r="B421" s="5" t="s">
        <v>7</v>
      </c>
      <c r="C421" s="38">
        <f>C415+C412+C409+C406+C403+C400+C397+C394+C391+C388+C385+C382+C379+C376+C373+C370+C367+C364+C361+C358+C355+C352+C349+C346+C343+C340+C337+C334+C331+C328+C325+C322+C319+C316+C313+C310+C307+C304+C301+C298+C295+C292+C289+C286+C283+C280+C277+C274+C271+C268+C265+C262+C259+C256+C253+C250+C247+C244+C241+C238+C235+C232+C229+C226+C223+C220+C217+C214+C211+C418</f>
        <v>140155.50000000003</v>
      </c>
      <c r="D421" s="38"/>
      <c r="E421" s="38">
        <f>E415+E412+E409+E406+E403+E400+E397+E394+E391+E388+E385+E382+E379+E376+E373+E370+E367+E364+E361+E358+E355+E352+E349+E346+E343+E340+E337+E334+E331+E328+E325+E322+E319+E316+E313+E310+E307+E304+E301+E298+E295+E292+E289+E286+E283+E280+E277+E274+E271+E268+E265+E262+E259+E256+E253+E250+E247+E244+E241+E238+E235+E232+E229+E226+E223+E220+E217+E214+E211+E418</f>
        <v>35397.9</v>
      </c>
      <c r="F421" s="38"/>
      <c r="G421" s="38">
        <f>G415+G412+G409+G406+G403+G400+G397+G394+G391+G388+G385+G382+G379+G376+G373+G370+G367+G364+G361+G358+G355+G352+G349+G346+G343+G340+G337+G334+G331+G328+G325+G322+G319+G316+G313+G310+G307+G304+G301+G298+G295+G292+G289+G286+G283+G280+G277+G274+G271+G268+G265+G262+G259+G256+G253+G250+G247+G244+G241+G238+G235+G232+G229+G226+G223+G220+G217+G214+G211+G418</f>
        <v>40251</v>
      </c>
      <c r="H421" s="37"/>
      <c r="I421" s="37"/>
      <c r="J421" s="37"/>
      <c r="K421" s="81">
        <f>K420</f>
        <v>9041</v>
      </c>
      <c r="L421" s="82">
        <f aca="true" t="shared" si="150" ref="L421:N422">L415+L412+L409+L406+L403+L400+L397+L394+L391+L388+L385+L382+L379+L376+L373+L370+L367+L364+L361+L358+L355+L352+L349+L346+L343+L340+L337+L334+L331+L328+L325+L322+L319+L316+L313+L310+L307+L304+L301+L298+L295+L292+L289+L286+L283+L280+L277+L274+L271+L268+L265+L262+L259+L256+L253+L250+L247+L244+L241+L238+L235+L232+L229+L226+L223+L220+L217+L214+L211+L418</f>
        <v>215804.40000000002</v>
      </c>
      <c r="M421" s="82">
        <f t="shared" si="150"/>
        <v>29019.50000000001</v>
      </c>
      <c r="N421" s="82">
        <f t="shared" si="150"/>
        <v>244823.90000000002</v>
      </c>
    </row>
    <row r="422" spans="1:14" ht="12">
      <c r="A422" s="37"/>
      <c r="B422" s="5" t="s">
        <v>155</v>
      </c>
      <c r="C422" s="38">
        <f>C416+C413+C410+C407+C404+C401+C398+C395+C392+C389+C386+C383+C380+C377+C374+C371+C368+C365+C362+C359+C356+C353+C350+C347+C344+C341+C338+C335+C332+C329+C326+C323+C320+C317+C314+C311+C308+C305+C302+C299+C296+C293+C290+C287+C284+C281+C278+C275+C272+C269+C266+C263+C260+C257+C254+C251+C248+C245+C242+C239+C236+C233+C230+C227+C224+C221+C218+C215+C212+C419</f>
        <v>762663.9000000003</v>
      </c>
      <c r="D422" s="38"/>
      <c r="E422" s="38">
        <f>E416+E413+E410+E407+E404+E401+E398+E395+E392+E389+E386+E383+E380+E377+E374+E371+E368+E365+E362+E359+E356+E353+E350+E347+E344+E341+E338+E335+E332+E329+E326+E323+E320+E317+E314+E311+E308+E305+E302+E299+E296+E293+E290+E287+E284+E281+E278+E275+E272+E269+E266+E263+E260+E257+E254+E251+E248+E245+E242+E239+E236+E233+E230+E227+E224+E221+E218+E215+E212+E419</f>
        <v>0</v>
      </c>
      <c r="F422" s="38"/>
      <c r="G422" s="38">
        <f>G416+G413+G410+G407+G404+G401+G398+G395+G392+G389+G386+G383+G380+G377+G374+G371+G368+G365+G362+G359+G356+G353+G350+G347+G344+G341+G338+G335+G332+G329+G326+G323+G320+G317+G314+G311+G308+G305+G302+G299+G296+G293+G290+G287+G284+G281+G278+G275+G272+G269+G266+G263+G260+G257+G254+G251+G248+G245+G242+G239+G236+G233+G230+G227+G224+G221+G218+G215+G212+G419</f>
        <v>14462.000000000007</v>
      </c>
      <c r="H422" s="37"/>
      <c r="I422" s="37"/>
      <c r="J422" s="37"/>
      <c r="K422" s="81">
        <f>K420</f>
        <v>9041</v>
      </c>
      <c r="L422" s="82">
        <f t="shared" si="150"/>
        <v>777125.9</v>
      </c>
      <c r="M422" s="82">
        <f t="shared" si="150"/>
        <v>0</v>
      </c>
      <c r="N422" s="82">
        <f t="shared" si="150"/>
        <v>777125.9</v>
      </c>
    </row>
    <row r="423" spans="1:14" ht="12.75">
      <c r="A423" s="37"/>
      <c r="B423" s="39" t="s">
        <v>150</v>
      </c>
      <c r="C423" s="38"/>
      <c r="D423" s="38"/>
      <c r="E423" s="38"/>
      <c r="F423" s="37"/>
      <c r="G423" s="37"/>
      <c r="H423" s="37"/>
      <c r="I423" s="37"/>
      <c r="J423" s="37"/>
      <c r="K423" s="37"/>
      <c r="L423" s="45">
        <f>L420/K420</f>
        <v>109.82527375290344</v>
      </c>
      <c r="M423" s="19"/>
      <c r="N423" s="12">
        <f>N420/K420</f>
        <v>113.0350403716403</v>
      </c>
    </row>
    <row r="424" spans="1:14" ht="12.75">
      <c r="A424" s="37"/>
      <c r="B424" s="5" t="s">
        <v>7</v>
      </c>
      <c r="C424" s="38"/>
      <c r="D424" s="38"/>
      <c r="E424" s="38"/>
      <c r="F424" s="37"/>
      <c r="G424" s="37"/>
      <c r="H424" s="37"/>
      <c r="I424" s="37"/>
      <c r="J424" s="37"/>
      <c r="K424" s="37"/>
      <c r="L424" s="45">
        <f>L421/K421</f>
        <v>23.86952770711205</v>
      </c>
      <c r="M424" s="19"/>
      <c r="N424" s="12"/>
    </row>
    <row r="425" spans="1:14" ht="12.75">
      <c r="A425" s="37"/>
      <c r="B425" s="5" t="s">
        <v>155</v>
      </c>
      <c r="C425" s="38"/>
      <c r="D425" s="38"/>
      <c r="E425" s="38"/>
      <c r="F425" s="37"/>
      <c r="G425" s="37"/>
      <c r="H425" s="37"/>
      <c r="I425" s="37"/>
      <c r="J425" s="37"/>
      <c r="K425" s="37"/>
      <c r="L425" s="45">
        <f>L422/K422</f>
        <v>85.9557460457914</v>
      </c>
      <c r="M425" s="19"/>
      <c r="N425" s="12"/>
    </row>
    <row r="426" spans="1:14" ht="12.75">
      <c r="A426" s="26"/>
      <c r="B426" s="42"/>
      <c r="C426" s="36"/>
      <c r="D426" s="36"/>
      <c r="E426" s="36"/>
      <c r="F426" s="26"/>
      <c r="G426" s="26"/>
      <c r="H426" s="26"/>
      <c r="I426" s="26"/>
      <c r="J426" s="26"/>
      <c r="K426" s="26"/>
      <c r="L426" s="26"/>
      <c r="M426" s="43"/>
      <c r="N426" s="44"/>
    </row>
    <row r="427" spans="1:14" s="23" customFormat="1" ht="15.75" customHeight="1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</row>
    <row r="428" spans="1:14" s="23" customFormat="1" ht="12" customHeight="1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</row>
    <row r="429" spans="1:14" s="23" customFormat="1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7"/>
      <c r="N429" s="27"/>
    </row>
    <row r="430" spans="1:12" ht="12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</row>
    <row r="431" spans="1:12" ht="12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</row>
    <row r="432" spans="1:12" ht="12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</row>
    <row r="433" spans="1:12" ht="12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spans="1:12" ht="12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</row>
    <row r="435" spans="1:12" ht="12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</row>
    <row r="436" spans="1:12" ht="12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spans="1:12" ht="12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</row>
    <row r="438" spans="1:12" ht="12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</row>
    <row r="439" spans="1:12" ht="12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spans="1:12" ht="12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spans="1:12" ht="12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</row>
    <row r="442" spans="1:12" ht="12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</row>
    <row r="443" spans="1:12" ht="12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spans="1:12" ht="12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</row>
    <row r="445" spans="1:12" ht="12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</row>
    <row r="446" spans="1:12" ht="12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</row>
  </sheetData>
  <sheetProtection/>
  <mergeCells count="12">
    <mergeCell ref="A427:N428"/>
    <mergeCell ref="A13:A14"/>
    <mergeCell ref="B13:B14"/>
    <mergeCell ref="M13:M14"/>
    <mergeCell ref="N13:N14"/>
    <mergeCell ref="K13:L13"/>
    <mergeCell ref="D13:J13"/>
    <mergeCell ref="F12:J12"/>
    <mergeCell ref="A9:N9"/>
    <mergeCell ref="A8:N8"/>
    <mergeCell ref="A10:N10"/>
    <mergeCell ref="A11:N11"/>
  </mergeCells>
  <printOptions/>
  <pageMargins left="0.7874015748031497" right="0.35433070866141736" top="1.2598425196850394" bottom="0.8267716535433072" header="0.5118110236220472" footer="0.1968503937007874"/>
  <pageSetup fitToHeight="10" fitToWidth="1" horizontalDpi="600" verticalDpi="600" orientation="landscape" paperSize="9" scale="66" r:id="rId1"/>
  <rowBreaks count="8" manualBreakCount="8">
    <brk id="12" max="13" man="1"/>
    <brk id="57" max="13" man="1"/>
    <brk id="108" max="13" man="1"/>
    <brk id="159" max="13" man="1"/>
    <brk id="209" max="13" man="1"/>
    <brk id="260" max="13" man="1"/>
    <brk id="309" max="13" man="1"/>
    <brk id="357" max="13" man="1"/>
  </rowBreaks>
  <colBreaks count="1" manualBreakCount="1">
    <brk id="13" max="4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view="pageBreakPreview" zoomScaleSheetLayoutView="100" workbookViewId="0" topLeftCell="A1">
      <selection activeCell="C3" sqref="C3"/>
    </sheetView>
  </sheetViews>
  <sheetFormatPr defaultColWidth="9.140625" defaultRowHeight="12"/>
  <cols>
    <col min="1" max="1" width="6.8515625" style="0" customWidth="1"/>
    <col min="2" max="2" width="30.7109375" style="0" customWidth="1"/>
    <col min="3" max="3" width="21.8515625" style="0" customWidth="1"/>
    <col min="4" max="4" width="25.00390625" style="0" customWidth="1"/>
    <col min="5" max="5" width="30.421875" style="0" customWidth="1"/>
  </cols>
  <sheetData>
    <row r="1" ht="12">
      <c r="E1" s="85" t="s">
        <v>297</v>
      </c>
    </row>
    <row r="2" ht="12">
      <c r="E2" s="85" t="s">
        <v>296</v>
      </c>
    </row>
    <row r="3" ht="12">
      <c r="E3" t="s">
        <v>0</v>
      </c>
    </row>
    <row r="4" ht="12">
      <c r="E4" t="s">
        <v>1</v>
      </c>
    </row>
    <row r="6" ht="12">
      <c r="E6" t="s">
        <v>290</v>
      </c>
    </row>
    <row r="8" spans="1:12" ht="12">
      <c r="A8" s="99" t="s">
        <v>2</v>
      </c>
      <c r="B8" s="99"/>
      <c r="C8" s="99"/>
      <c r="D8" s="99"/>
      <c r="E8" s="99"/>
      <c r="F8" s="1"/>
      <c r="G8" s="1"/>
      <c r="H8" s="1"/>
      <c r="I8" s="1"/>
      <c r="J8" s="1"/>
      <c r="K8" s="1"/>
      <c r="L8" s="1"/>
    </row>
    <row r="9" spans="1:12" ht="12">
      <c r="A9" s="99" t="s">
        <v>8</v>
      </c>
      <c r="B9" s="99"/>
      <c r="C9" s="99"/>
      <c r="D9" s="99"/>
      <c r="E9" s="99"/>
      <c r="F9" s="1"/>
      <c r="G9" s="1"/>
      <c r="H9" s="1"/>
      <c r="I9" s="1"/>
      <c r="J9" s="1"/>
      <c r="K9" s="1"/>
      <c r="L9" s="1"/>
    </row>
    <row r="10" spans="1:12" ht="12">
      <c r="A10" s="99" t="s">
        <v>3</v>
      </c>
      <c r="B10" s="99"/>
      <c r="C10" s="99"/>
      <c r="D10" s="99"/>
      <c r="E10" s="99"/>
      <c r="F10" s="1"/>
      <c r="G10" s="1"/>
      <c r="H10" s="1"/>
      <c r="I10" s="1"/>
      <c r="J10" s="1"/>
      <c r="K10" s="1"/>
      <c r="L10" s="1"/>
    </row>
    <row r="11" spans="1:12" ht="12">
      <c r="A11" s="100" t="s">
        <v>136</v>
      </c>
      <c r="B11" s="100"/>
      <c r="C11" s="100"/>
      <c r="D11" s="100"/>
      <c r="E11" s="100"/>
      <c r="F11" s="1"/>
      <c r="G11" s="1"/>
      <c r="H11" s="1"/>
      <c r="I11" s="1"/>
      <c r="J11" s="1"/>
      <c r="K11" s="1"/>
      <c r="L11" s="1"/>
    </row>
    <row r="12" spans="1:12" ht="12">
      <c r="A12" s="99" t="s">
        <v>294</v>
      </c>
      <c r="B12" s="99"/>
      <c r="C12" s="99"/>
      <c r="D12" s="99"/>
      <c r="E12" s="99"/>
      <c r="F12" s="1"/>
      <c r="G12" s="1"/>
      <c r="H12" s="1"/>
      <c r="I12" s="1"/>
      <c r="J12" s="1"/>
      <c r="K12" s="1"/>
      <c r="L12" s="1"/>
    </row>
    <row r="14" spans="1:5" ht="24" customHeight="1">
      <c r="A14" s="102" t="s">
        <v>4</v>
      </c>
      <c r="B14" s="112" t="s">
        <v>9</v>
      </c>
      <c r="C14" s="102" t="s">
        <v>291</v>
      </c>
      <c r="D14" s="102"/>
      <c r="E14" s="102"/>
    </row>
    <row r="15" spans="1:5" ht="70.5" customHeight="1">
      <c r="A15" s="102"/>
      <c r="B15" s="112"/>
      <c r="C15" s="2" t="s">
        <v>141</v>
      </c>
      <c r="D15" s="2" t="s">
        <v>142</v>
      </c>
      <c r="E15" s="2" t="s">
        <v>143</v>
      </c>
    </row>
    <row r="16" spans="1:5" ht="30.75" customHeight="1">
      <c r="A16" s="84">
        <v>1</v>
      </c>
      <c r="B16" s="103" t="s">
        <v>151</v>
      </c>
      <c r="C16" s="104"/>
      <c r="D16" s="104"/>
      <c r="E16" s="105"/>
    </row>
    <row r="17" spans="1:5" ht="24">
      <c r="A17" s="7">
        <v>1</v>
      </c>
      <c r="B17" s="6" t="s">
        <v>167</v>
      </c>
      <c r="C17" s="71">
        <v>135.6</v>
      </c>
      <c r="D17" s="71">
        <v>40.1</v>
      </c>
      <c r="E17" s="72">
        <f aca="true" t="shared" si="0" ref="E17:E60">C17+D17</f>
        <v>175.7</v>
      </c>
    </row>
    <row r="18" spans="1:5" ht="12">
      <c r="A18" s="7">
        <v>2</v>
      </c>
      <c r="B18" s="5" t="s">
        <v>168</v>
      </c>
      <c r="C18" s="71">
        <v>1208.2</v>
      </c>
      <c r="D18" s="71">
        <v>810</v>
      </c>
      <c r="E18" s="72">
        <f t="shared" si="0"/>
        <v>2018.2</v>
      </c>
    </row>
    <row r="19" spans="1:5" ht="12">
      <c r="A19" s="7">
        <v>3</v>
      </c>
      <c r="B19" s="5" t="s">
        <v>169</v>
      </c>
      <c r="C19" s="71">
        <v>205.1</v>
      </c>
      <c r="D19" s="71">
        <v>7.4</v>
      </c>
      <c r="E19" s="72">
        <f t="shared" si="0"/>
        <v>212.5</v>
      </c>
    </row>
    <row r="20" spans="1:5" ht="12">
      <c r="A20" s="7">
        <v>4</v>
      </c>
      <c r="B20" s="5" t="s">
        <v>170</v>
      </c>
      <c r="C20" s="71">
        <v>787.2</v>
      </c>
      <c r="D20" s="71">
        <v>97.3</v>
      </c>
      <c r="E20" s="72">
        <f>C20+D20</f>
        <v>884.5</v>
      </c>
    </row>
    <row r="21" spans="1:5" ht="12">
      <c r="A21" s="7">
        <v>5</v>
      </c>
      <c r="B21" s="5" t="s">
        <v>171</v>
      </c>
      <c r="C21" s="71">
        <v>819</v>
      </c>
      <c r="D21" s="71">
        <v>379.6</v>
      </c>
      <c r="E21" s="72">
        <f>C21+D21</f>
        <v>1198.6</v>
      </c>
    </row>
    <row r="22" spans="1:5" ht="12">
      <c r="A22" s="7">
        <v>6</v>
      </c>
      <c r="B22" s="5" t="s">
        <v>172</v>
      </c>
      <c r="C22" s="71">
        <v>725.5</v>
      </c>
      <c r="D22" s="71">
        <v>600</v>
      </c>
      <c r="E22" s="72">
        <f t="shared" si="0"/>
        <v>1325.5</v>
      </c>
    </row>
    <row r="23" spans="1:5" ht="24">
      <c r="A23" s="7">
        <v>7</v>
      </c>
      <c r="B23" s="5" t="s">
        <v>173</v>
      </c>
      <c r="C23" s="71">
        <v>351.7</v>
      </c>
      <c r="D23" s="71">
        <v>295</v>
      </c>
      <c r="E23" s="72">
        <f t="shared" si="0"/>
        <v>646.7</v>
      </c>
    </row>
    <row r="24" spans="1:5" ht="12">
      <c r="A24" s="7">
        <v>8</v>
      </c>
      <c r="B24" s="5" t="s">
        <v>174</v>
      </c>
      <c r="C24" s="71">
        <v>851.4</v>
      </c>
      <c r="D24" s="71">
        <v>106.4</v>
      </c>
      <c r="E24" s="72">
        <f t="shared" si="0"/>
        <v>957.8</v>
      </c>
    </row>
    <row r="25" spans="1:5" ht="12">
      <c r="A25" s="7">
        <v>9</v>
      </c>
      <c r="B25" s="5" t="s">
        <v>175</v>
      </c>
      <c r="C25" s="71">
        <v>715.8</v>
      </c>
      <c r="D25" s="71">
        <v>144.7</v>
      </c>
      <c r="E25" s="72">
        <f t="shared" si="0"/>
        <v>860.5</v>
      </c>
    </row>
    <row r="26" spans="1:5" ht="12">
      <c r="A26" s="7">
        <v>10</v>
      </c>
      <c r="B26" s="5" t="s">
        <v>176</v>
      </c>
      <c r="C26" s="71">
        <v>590.9</v>
      </c>
      <c r="D26" s="71">
        <v>19</v>
      </c>
      <c r="E26" s="72">
        <f t="shared" si="0"/>
        <v>609.9</v>
      </c>
    </row>
    <row r="27" spans="1:5" ht="12">
      <c r="A27" s="7">
        <v>11</v>
      </c>
      <c r="B27" s="5" t="s">
        <v>177</v>
      </c>
      <c r="C27" s="71">
        <v>744.9</v>
      </c>
      <c r="D27" s="71">
        <v>96.6</v>
      </c>
      <c r="E27" s="72">
        <f t="shared" si="0"/>
        <v>841.5</v>
      </c>
    </row>
    <row r="28" spans="1:5" ht="12">
      <c r="A28" s="7">
        <v>12</v>
      </c>
      <c r="B28" s="5" t="s">
        <v>178</v>
      </c>
      <c r="C28" s="71">
        <v>386.9</v>
      </c>
      <c r="D28" s="71">
        <v>120</v>
      </c>
      <c r="E28" s="72">
        <f t="shared" si="0"/>
        <v>506.9</v>
      </c>
    </row>
    <row r="29" spans="1:5" ht="12">
      <c r="A29" s="7">
        <v>13</v>
      </c>
      <c r="B29" s="5" t="s">
        <v>179</v>
      </c>
      <c r="C29" s="71">
        <v>1115</v>
      </c>
      <c r="D29" s="71">
        <v>80.5</v>
      </c>
      <c r="E29" s="72">
        <f t="shared" si="0"/>
        <v>1195.5</v>
      </c>
    </row>
    <row r="30" spans="1:5" ht="12">
      <c r="A30" s="7">
        <v>14</v>
      </c>
      <c r="B30" s="5" t="s">
        <v>180</v>
      </c>
      <c r="C30" s="71">
        <v>634.5</v>
      </c>
      <c r="D30" s="71">
        <v>111.7</v>
      </c>
      <c r="E30" s="72">
        <f t="shared" si="0"/>
        <v>746.2</v>
      </c>
    </row>
    <row r="31" spans="1:5" ht="12">
      <c r="A31" s="7">
        <v>15</v>
      </c>
      <c r="B31" s="5" t="s">
        <v>181</v>
      </c>
      <c r="C31" s="71">
        <v>906.5</v>
      </c>
      <c r="D31" s="71">
        <v>130</v>
      </c>
      <c r="E31" s="72">
        <f t="shared" si="0"/>
        <v>1036.5</v>
      </c>
    </row>
    <row r="32" spans="1:5" ht="12">
      <c r="A32" s="7">
        <v>16</v>
      </c>
      <c r="B32" s="5" t="s">
        <v>182</v>
      </c>
      <c r="C32" s="71">
        <v>978.2</v>
      </c>
      <c r="D32" s="71">
        <v>190</v>
      </c>
      <c r="E32" s="72">
        <f t="shared" si="0"/>
        <v>1168.2</v>
      </c>
    </row>
    <row r="33" spans="1:5" ht="12">
      <c r="A33" s="7">
        <v>17</v>
      </c>
      <c r="B33" s="5" t="s">
        <v>183</v>
      </c>
      <c r="C33" s="71">
        <v>886</v>
      </c>
      <c r="D33" s="71">
        <v>360</v>
      </c>
      <c r="E33" s="72">
        <f t="shared" si="0"/>
        <v>1246</v>
      </c>
    </row>
    <row r="34" spans="1:5" ht="12">
      <c r="A34" s="7">
        <v>18</v>
      </c>
      <c r="B34" s="5" t="s">
        <v>184</v>
      </c>
      <c r="C34" s="71">
        <v>936.7</v>
      </c>
      <c r="D34" s="71">
        <v>158</v>
      </c>
      <c r="E34" s="72">
        <f t="shared" si="0"/>
        <v>1094.7</v>
      </c>
    </row>
    <row r="35" spans="1:5" ht="12">
      <c r="A35" s="7">
        <v>19</v>
      </c>
      <c r="B35" s="5" t="s">
        <v>185</v>
      </c>
      <c r="C35" s="71">
        <v>885.9</v>
      </c>
      <c r="D35" s="71">
        <v>218.8</v>
      </c>
      <c r="E35" s="72">
        <f t="shared" si="0"/>
        <v>1104.7</v>
      </c>
    </row>
    <row r="36" spans="1:5" ht="12">
      <c r="A36" s="7">
        <v>20</v>
      </c>
      <c r="B36" s="5" t="s">
        <v>186</v>
      </c>
      <c r="C36" s="71">
        <v>313.6</v>
      </c>
      <c r="D36" s="71">
        <v>48</v>
      </c>
      <c r="E36" s="72">
        <f t="shared" si="0"/>
        <v>361.6</v>
      </c>
    </row>
    <row r="37" spans="1:5" ht="12">
      <c r="A37" s="7">
        <v>21</v>
      </c>
      <c r="B37" s="5" t="s">
        <v>187</v>
      </c>
      <c r="C37" s="71">
        <v>527.6</v>
      </c>
      <c r="D37" s="71">
        <v>24.2</v>
      </c>
      <c r="E37" s="72">
        <f t="shared" si="0"/>
        <v>551.8000000000001</v>
      </c>
    </row>
    <row r="38" spans="1:5" ht="12">
      <c r="A38" s="7">
        <v>22</v>
      </c>
      <c r="B38" s="5" t="s">
        <v>188</v>
      </c>
      <c r="C38" s="71">
        <v>720.9</v>
      </c>
      <c r="D38" s="71">
        <v>113.5</v>
      </c>
      <c r="E38" s="72">
        <f t="shared" si="0"/>
        <v>834.4</v>
      </c>
    </row>
    <row r="39" spans="1:5" ht="12">
      <c r="A39" s="7">
        <v>23</v>
      </c>
      <c r="B39" s="5" t="s">
        <v>189</v>
      </c>
      <c r="C39" s="71">
        <v>1081.3</v>
      </c>
      <c r="D39" s="71">
        <v>29.7</v>
      </c>
      <c r="E39" s="72">
        <f t="shared" si="0"/>
        <v>1111</v>
      </c>
    </row>
    <row r="40" spans="1:5" ht="12">
      <c r="A40" s="7">
        <v>24</v>
      </c>
      <c r="B40" s="5" t="s">
        <v>190</v>
      </c>
      <c r="C40" s="71">
        <v>574.5</v>
      </c>
      <c r="D40" s="71">
        <v>260</v>
      </c>
      <c r="E40" s="72">
        <f t="shared" si="0"/>
        <v>834.5</v>
      </c>
    </row>
    <row r="41" spans="1:5" ht="12">
      <c r="A41" s="7">
        <v>25</v>
      </c>
      <c r="B41" s="5" t="s">
        <v>191</v>
      </c>
      <c r="C41" s="71">
        <v>306.5</v>
      </c>
      <c r="D41" s="71">
        <v>55.8</v>
      </c>
      <c r="E41" s="72">
        <f t="shared" si="0"/>
        <v>362.3</v>
      </c>
    </row>
    <row r="42" spans="1:5" ht="12">
      <c r="A42" s="7">
        <v>26</v>
      </c>
      <c r="B42" s="5" t="s">
        <v>192</v>
      </c>
      <c r="C42" s="71">
        <v>1199.3</v>
      </c>
      <c r="D42" s="71">
        <v>200</v>
      </c>
      <c r="E42" s="72">
        <f t="shared" si="0"/>
        <v>1399.3</v>
      </c>
    </row>
    <row r="43" spans="1:5" ht="12">
      <c r="A43" s="7">
        <v>27</v>
      </c>
      <c r="B43" s="5" t="s">
        <v>193</v>
      </c>
      <c r="C43" s="71">
        <v>254.2</v>
      </c>
      <c r="D43" s="71">
        <v>380</v>
      </c>
      <c r="E43" s="72">
        <f t="shared" si="0"/>
        <v>634.2</v>
      </c>
    </row>
    <row r="44" spans="1:5" ht="24">
      <c r="A44" s="7">
        <v>28</v>
      </c>
      <c r="B44" s="5" t="s">
        <v>194</v>
      </c>
      <c r="C44" s="71">
        <v>951.6</v>
      </c>
      <c r="D44" s="71">
        <v>72</v>
      </c>
      <c r="E44" s="72">
        <f t="shared" si="0"/>
        <v>1023.6</v>
      </c>
    </row>
    <row r="45" spans="1:5" ht="24">
      <c r="A45" s="7">
        <v>29</v>
      </c>
      <c r="B45" s="5" t="s">
        <v>195</v>
      </c>
      <c r="C45" s="71">
        <v>934.7</v>
      </c>
      <c r="D45" s="71">
        <v>13</v>
      </c>
      <c r="E45" s="72">
        <f t="shared" si="0"/>
        <v>947.7</v>
      </c>
    </row>
    <row r="46" spans="1:5" ht="12">
      <c r="A46" s="7">
        <v>30</v>
      </c>
      <c r="B46" s="5" t="s">
        <v>196</v>
      </c>
      <c r="C46" s="71">
        <v>1188.2</v>
      </c>
      <c r="D46" s="71">
        <v>480</v>
      </c>
      <c r="E46" s="72">
        <f t="shared" si="0"/>
        <v>1668.2</v>
      </c>
    </row>
    <row r="47" spans="1:5" ht="12">
      <c r="A47" s="7">
        <v>31</v>
      </c>
      <c r="B47" s="5" t="s">
        <v>197</v>
      </c>
      <c r="C47" s="71">
        <v>592.7</v>
      </c>
      <c r="D47" s="71">
        <v>91.9</v>
      </c>
      <c r="E47" s="72">
        <f t="shared" si="0"/>
        <v>684.6</v>
      </c>
    </row>
    <row r="48" spans="1:5" ht="12">
      <c r="A48" s="7">
        <v>32</v>
      </c>
      <c r="B48" s="5" t="s">
        <v>198</v>
      </c>
      <c r="C48" s="71">
        <v>940.3</v>
      </c>
      <c r="D48" s="71">
        <v>43.3</v>
      </c>
      <c r="E48" s="72">
        <f t="shared" si="0"/>
        <v>983.5999999999999</v>
      </c>
    </row>
    <row r="49" spans="1:5" ht="12">
      <c r="A49" s="7">
        <v>33</v>
      </c>
      <c r="B49" s="5" t="s">
        <v>199</v>
      </c>
      <c r="C49" s="71">
        <v>330.5</v>
      </c>
      <c r="D49" s="71">
        <v>11.6</v>
      </c>
      <c r="E49" s="72">
        <f t="shared" si="0"/>
        <v>342.1</v>
      </c>
    </row>
    <row r="50" spans="1:5" ht="12">
      <c r="A50" s="7">
        <v>34</v>
      </c>
      <c r="B50" s="5" t="s">
        <v>200</v>
      </c>
      <c r="C50" s="71">
        <v>600.7</v>
      </c>
      <c r="D50" s="71">
        <v>23</v>
      </c>
      <c r="E50" s="72">
        <f t="shared" si="0"/>
        <v>623.7</v>
      </c>
    </row>
    <row r="51" spans="1:5" ht="12">
      <c r="A51" s="7">
        <v>35</v>
      </c>
      <c r="B51" s="5" t="s">
        <v>201</v>
      </c>
      <c r="C51" s="71">
        <v>1021.5</v>
      </c>
      <c r="D51" s="71">
        <v>13495.6</v>
      </c>
      <c r="E51" s="72">
        <f t="shared" si="0"/>
        <v>14517.1</v>
      </c>
    </row>
    <row r="52" spans="1:5" ht="12">
      <c r="A52" s="7">
        <v>36</v>
      </c>
      <c r="B52" s="5" t="s">
        <v>202</v>
      </c>
      <c r="C52" s="71">
        <v>352.6</v>
      </c>
      <c r="D52" s="71">
        <v>34.9</v>
      </c>
      <c r="E52" s="72">
        <f t="shared" si="0"/>
        <v>387.5</v>
      </c>
    </row>
    <row r="53" spans="1:5" ht="12">
      <c r="A53" s="7">
        <v>37</v>
      </c>
      <c r="B53" s="5" t="s">
        <v>203</v>
      </c>
      <c r="C53" s="71">
        <v>608.5</v>
      </c>
      <c r="D53" s="71">
        <v>129.3</v>
      </c>
      <c r="E53" s="72">
        <f t="shared" si="0"/>
        <v>737.8</v>
      </c>
    </row>
    <row r="54" spans="1:5" ht="12">
      <c r="A54" s="7">
        <v>38</v>
      </c>
      <c r="B54" s="5" t="s">
        <v>204</v>
      </c>
      <c r="C54" s="71">
        <v>419</v>
      </c>
      <c r="D54" s="71">
        <v>80</v>
      </c>
      <c r="E54" s="72">
        <f t="shared" si="0"/>
        <v>499</v>
      </c>
    </row>
    <row r="55" spans="1:5" ht="12">
      <c r="A55" s="7">
        <v>39</v>
      </c>
      <c r="B55" s="5" t="s">
        <v>205</v>
      </c>
      <c r="C55" s="71">
        <v>823.7</v>
      </c>
      <c r="D55" s="71">
        <v>51</v>
      </c>
      <c r="E55" s="72">
        <f t="shared" si="0"/>
        <v>874.7</v>
      </c>
    </row>
    <row r="56" spans="1:5" ht="12">
      <c r="A56" s="7">
        <v>40</v>
      </c>
      <c r="B56" s="5" t="s">
        <v>206</v>
      </c>
      <c r="C56" s="71">
        <v>0</v>
      </c>
      <c r="D56" s="71">
        <v>12.5</v>
      </c>
      <c r="E56" s="72">
        <f t="shared" si="0"/>
        <v>12.5</v>
      </c>
    </row>
    <row r="57" spans="1:5" ht="12">
      <c r="A57" s="7">
        <v>41</v>
      </c>
      <c r="B57" s="5" t="s">
        <v>207</v>
      </c>
      <c r="C57" s="71">
        <v>436.4</v>
      </c>
      <c r="D57" s="71">
        <v>63.5</v>
      </c>
      <c r="E57" s="72">
        <f t="shared" si="0"/>
        <v>499.9</v>
      </c>
    </row>
    <row r="58" spans="1:5" ht="12">
      <c r="A58" s="7">
        <v>42</v>
      </c>
      <c r="B58" s="5" t="s">
        <v>208</v>
      </c>
      <c r="C58" s="71">
        <v>274.8</v>
      </c>
      <c r="D58" s="71">
        <v>124.7</v>
      </c>
      <c r="E58" s="72">
        <f t="shared" si="0"/>
        <v>399.5</v>
      </c>
    </row>
    <row r="59" spans="1:5" ht="12">
      <c r="A59" s="7">
        <v>43</v>
      </c>
      <c r="B59" s="5" t="s">
        <v>209</v>
      </c>
      <c r="C59" s="71">
        <v>597.1</v>
      </c>
      <c r="D59" s="71">
        <v>165.5</v>
      </c>
      <c r="E59" s="72">
        <f t="shared" si="0"/>
        <v>762.6</v>
      </c>
    </row>
    <row r="60" spans="1:5" ht="12">
      <c r="A60" s="7">
        <v>44</v>
      </c>
      <c r="B60" s="5" t="s">
        <v>210</v>
      </c>
      <c r="C60" s="71">
        <v>525.4</v>
      </c>
      <c r="D60" s="71">
        <v>285</v>
      </c>
      <c r="E60" s="72">
        <f t="shared" si="0"/>
        <v>810.4</v>
      </c>
    </row>
    <row r="61" spans="1:5" ht="12">
      <c r="A61" s="7"/>
      <c r="B61" s="5"/>
      <c r="C61" s="71"/>
      <c r="D61" s="71"/>
      <c r="E61" s="72">
        <f>SUM(E17:E60)</f>
        <v>49693.7</v>
      </c>
    </row>
    <row r="62" spans="1:5" ht="18.75" customHeight="1">
      <c r="A62" s="8">
        <v>2</v>
      </c>
      <c r="B62" s="106" t="s">
        <v>152</v>
      </c>
      <c r="C62" s="107"/>
      <c r="D62" s="107"/>
      <c r="E62" s="108"/>
    </row>
    <row r="63" spans="1:5" ht="12">
      <c r="A63" s="7">
        <v>1</v>
      </c>
      <c r="B63" s="5" t="s">
        <v>211</v>
      </c>
      <c r="C63" s="71">
        <v>0</v>
      </c>
      <c r="D63" s="71">
        <v>0</v>
      </c>
      <c r="E63" s="72">
        <f aca="true" t="shared" si="1" ref="E63:E70">C63+D63</f>
        <v>0</v>
      </c>
    </row>
    <row r="64" spans="1:5" ht="12">
      <c r="A64" s="7">
        <v>2</v>
      </c>
      <c r="B64" s="5" t="s">
        <v>212</v>
      </c>
      <c r="C64" s="71">
        <v>0</v>
      </c>
      <c r="D64" s="71">
        <v>50</v>
      </c>
      <c r="E64" s="72">
        <f t="shared" si="1"/>
        <v>50</v>
      </c>
    </row>
    <row r="65" spans="1:5" ht="12">
      <c r="A65" s="7">
        <v>3</v>
      </c>
      <c r="B65" s="5" t="s">
        <v>213</v>
      </c>
      <c r="C65" s="71">
        <v>2.5</v>
      </c>
      <c r="D65" s="71">
        <v>0</v>
      </c>
      <c r="E65" s="72">
        <f t="shared" si="1"/>
        <v>2.5</v>
      </c>
    </row>
    <row r="66" spans="1:5" ht="12">
      <c r="A66" s="7">
        <v>4</v>
      </c>
      <c r="B66" s="5" t="s">
        <v>214</v>
      </c>
      <c r="C66" s="71">
        <v>207</v>
      </c>
      <c r="D66" s="71">
        <v>3</v>
      </c>
      <c r="E66" s="72">
        <f t="shared" si="1"/>
        <v>210</v>
      </c>
    </row>
    <row r="67" spans="1:5" ht="12">
      <c r="A67" s="7">
        <v>5</v>
      </c>
      <c r="B67" s="5" t="s">
        <v>215</v>
      </c>
      <c r="C67" s="71">
        <v>332.5</v>
      </c>
      <c r="D67" s="71">
        <v>14.4</v>
      </c>
      <c r="E67" s="72">
        <f t="shared" si="1"/>
        <v>346.9</v>
      </c>
    </row>
    <row r="68" spans="1:5" ht="12">
      <c r="A68" s="7">
        <v>6</v>
      </c>
      <c r="B68" s="5" t="s">
        <v>216</v>
      </c>
      <c r="C68" s="71">
        <v>0</v>
      </c>
      <c r="D68" s="71">
        <v>10</v>
      </c>
      <c r="E68" s="72">
        <f t="shared" si="1"/>
        <v>10</v>
      </c>
    </row>
    <row r="69" spans="1:5" ht="18" customHeight="1">
      <c r="A69" s="7">
        <v>7</v>
      </c>
      <c r="B69" s="5" t="s">
        <v>217</v>
      </c>
      <c r="C69" s="71">
        <v>232.5</v>
      </c>
      <c r="D69" s="71">
        <v>12.1</v>
      </c>
      <c r="E69" s="72">
        <f t="shared" si="1"/>
        <v>244.6</v>
      </c>
    </row>
    <row r="70" spans="1:5" ht="12">
      <c r="A70" s="7">
        <v>8</v>
      </c>
      <c r="B70" s="5" t="s">
        <v>218</v>
      </c>
      <c r="C70" s="71">
        <v>86.2</v>
      </c>
      <c r="D70" s="71">
        <v>0.6</v>
      </c>
      <c r="E70" s="72">
        <f t="shared" si="1"/>
        <v>86.8</v>
      </c>
    </row>
    <row r="71" spans="1:5" ht="12">
      <c r="A71" s="7"/>
      <c r="B71" s="5"/>
      <c r="C71" s="71"/>
      <c r="D71" s="71"/>
      <c r="E71" s="72">
        <f>SUM(E63:E70)</f>
        <v>950.8</v>
      </c>
    </row>
    <row r="72" spans="1:5" ht="12">
      <c r="A72" s="7"/>
      <c r="B72" s="6" t="s">
        <v>131</v>
      </c>
      <c r="C72" s="71"/>
      <c r="D72" s="71"/>
      <c r="E72" s="72"/>
    </row>
    <row r="73" spans="1:5" ht="30.75" customHeight="1">
      <c r="A73" s="8">
        <v>3</v>
      </c>
      <c r="B73" s="109" t="s">
        <v>153</v>
      </c>
      <c r="C73" s="110"/>
      <c r="D73" s="110"/>
      <c r="E73" s="111"/>
    </row>
    <row r="74" spans="1:5" ht="12">
      <c r="A74" s="7" t="s">
        <v>132</v>
      </c>
      <c r="B74" s="6" t="s">
        <v>219</v>
      </c>
      <c r="C74" s="71">
        <v>0</v>
      </c>
      <c r="D74" s="71">
        <v>20</v>
      </c>
      <c r="E74" s="72">
        <f>C74+D74</f>
        <v>20</v>
      </c>
    </row>
    <row r="75" spans="1:5" ht="12">
      <c r="A75" s="7"/>
      <c r="B75" s="6"/>
      <c r="C75" s="71"/>
      <c r="D75" s="71"/>
      <c r="E75" s="72"/>
    </row>
    <row r="76" spans="1:5" ht="22.5" customHeight="1">
      <c r="A76" s="8">
        <v>4</v>
      </c>
      <c r="B76" s="109" t="s">
        <v>154</v>
      </c>
      <c r="C76" s="110"/>
      <c r="D76" s="110"/>
      <c r="E76" s="111"/>
    </row>
    <row r="77" spans="1:5" ht="12">
      <c r="A77" s="7">
        <v>1</v>
      </c>
      <c r="B77" s="5" t="s">
        <v>220</v>
      </c>
      <c r="C77" s="71">
        <v>433.7</v>
      </c>
      <c r="D77" s="71">
        <v>240</v>
      </c>
      <c r="E77" s="72">
        <f aca="true" t="shared" si="2" ref="E77:E138">C77+D77</f>
        <v>673.7</v>
      </c>
    </row>
    <row r="78" spans="1:5" ht="12">
      <c r="A78" s="7">
        <v>2</v>
      </c>
      <c r="B78" s="5" t="s">
        <v>221</v>
      </c>
      <c r="C78" s="71">
        <v>252.2</v>
      </c>
      <c r="D78" s="71">
        <v>67.2</v>
      </c>
      <c r="E78" s="72">
        <f t="shared" si="2"/>
        <v>319.4</v>
      </c>
    </row>
    <row r="79" spans="1:5" ht="12">
      <c r="A79" s="7">
        <v>3</v>
      </c>
      <c r="B79" s="5" t="s">
        <v>222</v>
      </c>
      <c r="C79" s="71">
        <v>390</v>
      </c>
      <c r="D79" s="71">
        <v>212</v>
      </c>
      <c r="E79" s="72">
        <f t="shared" si="2"/>
        <v>602</v>
      </c>
    </row>
    <row r="80" spans="1:5" ht="12">
      <c r="A80" s="7">
        <v>4</v>
      </c>
      <c r="B80" s="5" t="s">
        <v>223</v>
      </c>
      <c r="C80" s="71">
        <v>293.1</v>
      </c>
      <c r="D80" s="71">
        <v>225.6</v>
      </c>
      <c r="E80" s="72">
        <f t="shared" si="2"/>
        <v>518.7</v>
      </c>
    </row>
    <row r="81" spans="1:5" ht="12">
      <c r="A81" s="7">
        <v>5</v>
      </c>
      <c r="B81" s="5" t="s">
        <v>224</v>
      </c>
      <c r="C81" s="71">
        <v>250.6</v>
      </c>
      <c r="D81" s="71">
        <v>10</v>
      </c>
      <c r="E81" s="72">
        <f t="shared" si="2"/>
        <v>260.6</v>
      </c>
    </row>
    <row r="82" spans="1:5" ht="12">
      <c r="A82" s="7">
        <v>6</v>
      </c>
      <c r="B82" s="5" t="s">
        <v>225</v>
      </c>
      <c r="C82" s="71">
        <v>569.1</v>
      </c>
      <c r="D82" s="71">
        <v>413.8</v>
      </c>
      <c r="E82" s="72">
        <f t="shared" si="2"/>
        <v>982.9000000000001</v>
      </c>
    </row>
    <row r="83" spans="1:5" ht="12">
      <c r="A83" s="7">
        <v>7</v>
      </c>
      <c r="B83" s="5" t="s">
        <v>226</v>
      </c>
      <c r="C83" s="71">
        <v>425.3</v>
      </c>
      <c r="D83" s="71">
        <v>68.5</v>
      </c>
      <c r="E83" s="72">
        <f t="shared" si="2"/>
        <v>493.8</v>
      </c>
    </row>
    <row r="84" spans="1:5" ht="12">
      <c r="A84" s="7">
        <v>8</v>
      </c>
      <c r="B84" s="5" t="s">
        <v>227</v>
      </c>
      <c r="C84" s="71">
        <v>304.9</v>
      </c>
      <c r="D84" s="71">
        <v>30</v>
      </c>
      <c r="E84" s="72">
        <f t="shared" si="2"/>
        <v>334.9</v>
      </c>
    </row>
    <row r="85" spans="1:5" ht="12">
      <c r="A85" s="7">
        <v>9</v>
      </c>
      <c r="B85" s="5" t="s">
        <v>228</v>
      </c>
      <c r="C85" s="71">
        <v>213.5</v>
      </c>
      <c r="D85" s="71">
        <v>30</v>
      </c>
      <c r="E85" s="72">
        <f t="shared" si="2"/>
        <v>243.5</v>
      </c>
    </row>
    <row r="86" spans="1:5" ht="12">
      <c r="A86" s="7">
        <v>10</v>
      </c>
      <c r="B86" s="5" t="s">
        <v>229</v>
      </c>
      <c r="C86" s="71">
        <v>424.3</v>
      </c>
      <c r="D86" s="71">
        <v>216.9</v>
      </c>
      <c r="E86" s="72">
        <f t="shared" si="2"/>
        <v>641.2</v>
      </c>
    </row>
    <row r="87" spans="1:5" ht="12">
      <c r="A87" s="7">
        <v>11</v>
      </c>
      <c r="B87" s="5" t="s">
        <v>230</v>
      </c>
      <c r="C87" s="71">
        <v>169.4</v>
      </c>
      <c r="D87" s="71">
        <v>84</v>
      </c>
      <c r="E87" s="72">
        <f t="shared" si="2"/>
        <v>253.4</v>
      </c>
    </row>
    <row r="88" spans="1:5" ht="12">
      <c r="A88" s="7">
        <v>12</v>
      </c>
      <c r="B88" s="5" t="s">
        <v>231</v>
      </c>
      <c r="C88" s="71">
        <v>216.1</v>
      </c>
      <c r="D88" s="71">
        <v>16.5</v>
      </c>
      <c r="E88" s="72">
        <f t="shared" si="2"/>
        <v>232.6</v>
      </c>
    </row>
    <row r="89" spans="1:5" ht="12">
      <c r="A89" s="7">
        <v>13</v>
      </c>
      <c r="B89" s="5" t="s">
        <v>232</v>
      </c>
      <c r="C89" s="71">
        <v>557.5</v>
      </c>
      <c r="D89" s="71">
        <v>220</v>
      </c>
      <c r="E89" s="72">
        <f t="shared" si="2"/>
        <v>777.5</v>
      </c>
    </row>
    <row r="90" spans="1:5" ht="12">
      <c r="A90" s="7">
        <v>14</v>
      </c>
      <c r="B90" s="5" t="s">
        <v>233</v>
      </c>
      <c r="C90" s="71">
        <v>237.7</v>
      </c>
      <c r="D90" s="71">
        <v>36</v>
      </c>
      <c r="E90" s="72">
        <f t="shared" si="2"/>
        <v>273.7</v>
      </c>
    </row>
    <row r="91" spans="1:5" ht="12">
      <c r="A91" s="7">
        <v>15</v>
      </c>
      <c r="B91" s="5" t="s">
        <v>234</v>
      </c>
      <c r="C91" s="71">
        <v>621.6</v>
      </c>
      <c r="D91" s="71">
        <v>30</v>
      </c>
      <c r="E91" s="72">
        <f t="shared" si="2"/>
        <v>651.6</v>
      </c>
    </row>
    <row r="92" spans="1:5" ht="12">
      <c r="A92" s="7">
        <v>16</v>
      </c>
      <c r="B92" s="5" t="s">
        <v>235</v>
      </c>
      <c r="C92" s="71">
        <v>481.2</v>
      </c>
      <c r="D92" s="71">
        <v>154</v>
      </c>
      <c r="E92" s="72">
        <f t="shared" si="2"/>
        <v>635.2</v>
      </c>
    </row>
    <row r="93" spans="1:5" ht="12">
      <c r="A93" s="7">
        <v>17</v>
      </c>
      <c r="B93" s="5" t="s">
        <v>236</v>
      </c>
      <c r="C93" s="71">
        <v>105.7</v>
      </c>
      <c r="D93" s="71">
        <v>39.7</v>
      </c>
      <c r="E93" s="72">
        <f t="shared" si="2"/>
        <v>145.4</v>
      </c>
    </row>
    <row r="94" spans="1:5" ht="12">
      <c r="A94" s="7">
        <v>18</v>
      </c>
      <c r="B94" s="5" t="s">
        <v>237</v>
      </c>
      <c r="C94" s="71">
        <v>188.9</v>
      </c>
      <c r="D94" s="71">
        <v>13</v>
      </c>
      <c r="E94" s="72">
        <f t="shared" si="2"/>
        <v>201.9</v>
      </c>
    </row>
    <row r="95" spans="1:5" ht="12">
      <c r="A95" s="7">
        <v>19</v>
      </c>
      <c r="B95" s="5" t="s">
        <v>238</v>
      </c>
      <c r="C95" s="71">
        <v>208</v>
      </c>
      <c r="D95" s="71">
        <v>60</v>
      </c>
      <c r="E95" s="72">
        <f t="shared" si="2"/>
        <v>268</v>
      </c>
    </row>
    <row r="96" spans="1:5" ht="12">
      <c r="A96" s="7">
        <v>20</v>
      </c>
      <c r="B96" s="5" t="s">
        <v>239</v>
      </c>
      <c r="C96" s="71">
        <v>206.1</v>
      </c>
      <c r="D96" s="71">
        <v>30</v>
      </c>
      <c r="E96" s="72">
        <f t="shared" si="2"/>
        <v>236.1</v>
      </c>
    </row>
    <row r="97" spans="1:5" ht="12">
      <c r="A97" s="7">
        <v>21</v>
      </c>
      <c r="B97" s="5" t="s">
        <v>240</v>
      </c>
      <c r="C97" s="71">
        <v>392</v>
      </c>
      <c r="D97" s="71">
        <v>16.5</v>
      </c>
      <c r="E97" s="72">
        <f t="shared" si="2"/>
        <v>408.5</v>
      </c>
    </row>
    <row r="98" spans="1:5" ht="12">
      <c r="A98" s="7">
        <v>22</v>
      </c>
      <c r="B98" s="5" t="s">
        <v>241</v>
      </c>
      <c r="C98" s="71">
        <v>378.7</v>
      </c>
      <c r="D98" s="71">
        <v>80</v>
      </c>
      <c r="E98" s="72">
        <f t="shared" si="2"/>
        <v>458.7</v>
      </c>
    </row>
    <row r="99" spans="1:5" ht="12">
      <c r="A99" s="7">
        <v>23</v>
      </c>
      <c r="B99" s="5" t="s">
        <v>242</v>
      </c>
      <c r="C99" s="71">
        <v>134.5</v>
      </c>
      <c r="D99" s="71">
        <v>11.1</v>
      </c>
      <c r="E99" s="72">
        <f t="shared" si="2"/>
        <v>145.6</v>
      </c>
    </row>
    <row r="100" spans="1:5" ht="12">
      <c r="A100" s="7">
        <v>24</v>
      </c>
      <c r="B100" s="5" t="s">
        <v>243</v>
      </c>
      <c r="C100" s="71">
        <v>436.3</v>
      </c>
      <c r="D100" s="71">
        <v>39.2</v>
      </c>
      <c r="E100" s="72">
        <f t="shared" si="2"/>
        <v>475.5</v>
      </c>
    </row>
    <row r="101" spans="1:5" ht="12">
      <c r="A101" s="7">
        <v>25</v>
      </c>
      <c r="B101" s="5" t="s">
        <v>244</v>
      </c>
      <c r="C101" s="71">
        <v>415.6</v>
      </c>
      <c r="D101" s="71">
        <v>74</v>
      </c>
      <c r="E101" s="72">
        <f t="shared" si="2"/>
        <v>489.6</v>
      </c>
    </row>
    <row r="102" spans="1:5" ht="12">
      <c r="A102" s="7">
        <v>26</v>
      </c>
      <c r="B102" s="5" t="s">
        <v>245</v>
      </c>
      <c r="C102" s="71">
        <v>159</v>
      </c>
      <c r="D102" s="71">
        <v>13.5</v>
      </c>
      <c r="E102" s="72">
        <f t="shared" si="2"/>
        <v>172.5</v>
      </c>
    </row>
    <row r="103" spans="1:5" ht="12">
      <c r="A103" s="7">
        <v>27</v>
      </c>
      <c r="B103" s="5" t="s">
        <v>246</v>
      </c>
      <c r="C103" s="71">
        <v>208.5</v>
      </c>
      <c r="D103" s="71">
        <v>17.9</v>
      </c>
      <c r="E103" s="72">
        <f t="shared" si="2"/>
        <v>226.4</v>
      </c>
    </row>
    <row r="104" spans="1:5" ht="12">
      <c r="A104" s="7">
        <v>28</v>
      </c>
      <c r="B104" s="5" t="s">
        <v>247</v>
      </c>
      <c r="C104" s="71">
        <v>144.5</v>
      </c>
      <c r="D104" s="71">
        <v>12</v>
      </c>
      <c r="E104" s="72">
        <f t="shared" si="2"/>
        <v>156.5</v>
      </c>
    </row>
    <row r="105" spans="1:5" ht="12">
      <c r="A105" s="7">
        <v>29</v>
      </c>
      <c r="B105" s="5" t="s">
        <v>248</v>
      </c>
      <c r="C105" s="71">
        <v>225.4</v>
      </c>
      <c r="D105" s="71">
        <v>168.8</v>
      </c>
      <c r="E105" s="72">
        <f t="shared" si="2"/>
        <v>394.20000000000005</v>
      </c>
    </row>
    <row r="106" spans="1:5" ht="12">
      <c r="A106" s="7">
        <v>30</v>
      </c>
      <c r="B106" s="5" t="s">
        <v>249</v>
      </c>
      <c r="C106" s="71">
        <v>465.1</v>
      </c>
      <c r="D106" s="71">
        <v>205.8</v>
      </c>
      <c r="E106" s="72">
        <f t="shared" si="2"/>
        <v>670.9000000000001</v>
      </c>
    </row>
    <row r="107" spans="1:5" ht="12">
      <c r="A107" s="7">
        <v>31</v>
      </c>
      <c r="B107" s="5" t="s">
        <v>250</v>
      </c>
      <c r="C107" s="71">
        <v>212.9</v>
      </c>
      <c r="D107" s="71">
        <v>32.1</v>
      </c>
      <c r="E107" s="72">
        <f t="shared" si="2"/>
        <v>245</v>
      </c>
    </row>
    <row r="108" spans="1:5" ht="12">
      <c r="A108" s="7">
        <v>32</v>
      </c>
      <c r="B108" s="5" t="s">
        <v>251</v>
      </c>
      <c r="C108" s="71">
        <v>443.9</v>
      </c>
      <c r="D108" s="71">
        <v>55.1</v>
      </c>
      <c r="E108" s="72">
        <f t="shared" si="2"/>
        <v>499</v>
      </c>
    </row>
    <row r="109" spans="1:5" ht="12">
      <c r="A109" s="7">
        <v>33</v>
      </c>
      <c r="B109" s="5" t="s">
        <v>252</v>
      </c>
      <c r="C109" s="71">
        <v>398</v>
      </c>
      <c r="D109" s="71">
        <v>43.8</v>
      </c>
      <c r="E109" s="72">
        <f t="shared" si="2"/>
        <v>441.8</v>
      </c>
    </row>
    <row r="110" spans="1:5" ht="12">
      <c r="A110" s="7">
        <v>34</v>
      </c>
      <c r="B110" s="5" t="s">
        <v>253</v>
      </c>
      <c r="C110" s="71">
        <v>189.7</v>
      </c>
      <c r="D110" s="71">
        <v>21.3</v>
      </c>
      <c r="E110" s="72">
        <f t="shared" si="2"/>
        <v>211</v>
      </c>
    </row>
    <row r="111" spans="1:5" ht="12">
      <c r="A111" s="7">
        <v>35</v>
      </c>
      <c r="B111" s="5" t="s">
        <v>254</v>
      </c>
      <c r="C111" s="71">
        <v>384.2</v>
      </c>
      <c r="D111" s="71">
        <v>225.5</v>
      </c>
      <c r="E111" s="72">
        <f t="shared" si="2"/>
        <v>609.7</v>
      </c>
    </row>
    <row r="112" spans="1:5" ht="12">
      <c r="A112" s="7">
        <v>36</v>
      </c>
      <c r="B112" s="5" t="s">
        <v>255</v>
      </c>
      <c r="C112" s="71">
        <v>433.9</v>
      </c>
      <c r="D112" s="71">
        <v>214.8</v>
      </c>
      <c r="E112" s="72">
        <f t="shared" si="2"/>
        <v>648.7</v>
      </c>
    </row>
    <row r="113" spans="1:5" ht="12">
      <c r="A113" s="7">
        <v>37</v>
      </c>
      <c r="B113" s="5" t="s">
        <v>256</v>
      </c>
      <c r="C113" s="71">
        <v>180.5</v>
      </c>
      <c r="D113" s="71">
        <v>6.8</v>
      </c>
      <c r="E113" s="72">
        <f t="shared" si="2"/>
        <v>187.3</v>
      </c>
    </row>
    <row r="114" spans="1:5" ht="12">
      <c r="A114" s="7">
        <v>38</v>
      </c>
      <c r="B114" s="5" t="s">
        <v>257</v>
      </c>
      <c r="C114" s="71">
        <v>286.2</v>
      </c>
      <c r="D114" s="71">
        <v>20</v>
      </c>
      <c r="E114" s="72">
        <f t="shared" si="2"/>
        <v>306.2</v>
      </c>
    </row>
    <row r="115" spans="1:5" ht="12">
      <c r="A115" s="7">
        <v>39</v>
      </c>
      <c r="B115" s="5" t="s">
        <v>258</v>
      </c>
      <c r="C115" s="71">
        <v>307.1</v>
      </c>
      <c r="D115" s="71">
        <v>59.2</v>
      </c>
      <c r="E115" s="72">
        <f t="shared" si="2"/>
        <v>366.3</v>
      </c>
    </row>
    <row r="116" spans="1:5" ht="12">
      <c r="A116" s="7">
        <v>40</v>
      </c>
      <c r="B116" s="5" t="s">
        <v>259</v>
      </c>
      <c r="C116" s="71">
        <v>213.5</v>
      </c>
      <c r="D116" s="71">
        <v>10.1</v>
      </c>
      <c r="E116" s="72">
        <f t="shared" si="2"/>
        <v>223.6</v>
      </c>
    </row>
    <row r="117" spans="1:5" ht="12">
      <c r="A117" s="7">
        <v>41</v>
      </c>
      <c r="B117" s="5" t="s">
        <v>260</v>
      </c>
      <c r="C117" s="71">
        <v>342.4</v>
      </c>
      <c r="D117" s="71">
        <v>112.3</v>
      </c>
      <c r="E117" s="72">
        <f t="shared" si="2"/>
        <v>454.7</v>
      </c>
    </row>
    <row r="118" spans="1:5" ht="12">
      <c r="A118" s="7">
        <v>42</v>
      </c>
      <c r="B118" s="5" t="s">
        <v>261</v>
      </c>
      <c r="C118" s="71">
        <v>12.1</v>
      </c>
      <c r="D118" s="71">
        <v>0.001</v>
      </c>
      <c r="E118" s="72">
        <f t="shared" si="2"/>
        <v>12.100999999999999</v>
      </c>
    </row>
    <row r="119" spans="1:5" ht="12">
      <c r="A119" s="7">
        <v>43</v>
      </c>
      <c r="B119" s="5" t="s">
        <v>262</v>
      </c>
      <c r="C119" s="71">
        <v>216.5</v>
      </c>
      <c r="D119" s="71">
        <v>92.6</v>
      </c>
      <c r="E119" s="72">
        <f t="shared" si="2"/>
        <v>309.1</v>
      </c>
    </row>
    <row r="120" spans="1:5" ht="12">
      <c r="A120" s="7">
        <v>44</v>
      </c>
      <c r="B120" s="5" t="s">
        <v>263</v>
      </c>
      <c r="C120" s="71">
        <v>127</v>
      </c>
      <c r="D120" s="71">
        <v>86</v>
      </c>
      <c r="E120" s="72">
        <f t="shared" si="2"/>
        <v>213</v>
      </c>
    </row>
    <row r="121" spans="1:5" ht="12">
      <c r="A121" s="7">
        <v>45</v>
      </c>
      <c r="B121" s="5" t="s">
        <v>264</v>
      </c>
      <c r="C121" s="71">
        <v>279.4</v>
      </c>
      <c r="D121" s="71">
        <v>34</v>
      </c>
      <c r="E121" s="72">
        <f t="shared" si="2"/>
        <v>313.4</v>
      </c>
    </row>
    <row r="122" spans="1:5" ht="12">
      <c r="A122" s="7">
        <v>46</v>
      </c>
      <c r="B122" s="5" t="s">
        <v>265</v>
      </c>
      <c r="C122" s="71">
        <v>192.6</v>
      </c>
      <c r="D122" s="71">
        <v>6.7</v>
      </c>
      <c r="E122" s="72">
        <f t="shared" si="2"/>
        <v>199.29999999999998</v>
      </c>
    </row>
    <row r="123" spans="1:5" ht="12">
      <c r="A123" s="7">
        <v>47</v>
      </c>
      <c r="B123" s="5" t="s">
        <v>266</v>
      </c>
      <c r="C123" s="71">
        <v>102.9</v>
      </c>
      <c r="D123" s="71">
        <v>1.1</v>
      </c>
      <c r="E123" s="72">
        <f t="shared" si="2"/>
        <v>104</v>
      </c>
    </row>
    <row r="124" spans="1:5" ht="12">
      <c r="A124" s="7">
        <v>48</v>
      </c>
      <c r="B124" s="5" t="s">
        <v>267</v>
      </c>
      <c r="C124" s="71">
        <v>644.8</v>
      </c>
      <c r="D124" s="71">
        <v>43</v>
      </c>
      <c r="E124" s="72">
        <f t="shared" si="2"/>
        <v>687.8</v>
      </c>
    </row>
    <row r="125" spans="1:5" ht="12">
      <c r="A125" s="7">
        <v>49</v>
      </c>
      <c r="B125" s="5" t="s">
        <v>268</v>
      </c>
      <c r="C125" s="71">
        <v>573</v>
      </c>
      <c r="D125" s="71">
        <v>40</v>
      </c>
      <c r="E125" s="72">
        <f t="shared" si="2"/>
        <v>613</v>
      </c>
    </row>
    <row r="126" spans="1:5" ht="12">
      <c r="A126" s="7">
        <v>50</v>
      </c>
      <c r="B126" s="5" t="s">
        <v>269</v>
      </c>
      <c r="C126" s="71">
        <v>243.3</v>
      </c>
      <c r="D126" s="71">
        <v>0.2</v>
      </c>
      <c r="E126" s="72">
        <f t="shared" si="2"/>
        <v>243.5</v>
      </c>
    </row>
    <row r="127" spans="1:5" ht="12">
      <c r="A127" s="7">
        <v>51</v>
      </c>
      <c r="B127" s="5" t="s">
        <v>270</v>
      </c>
      <c r="C127" s="71">
        <v>523.7</v>
      </c>
      <c r="D127" s="71">
        <v>97</v>
      </c>
      <c r="E127" s="72">
        <f t="shared" si="2"/>
        <v>620.7</v>
      </c>
    </row>
    <row r="128" spans="1:5" ht="12">
      <c r="A128" s="7">
        <v>52</v>
      </c>
      <c r="B128" s="5" t="s">
        <v>271</v>
      </c>
      <c r="C128" s="71">
        <v>297.5</v>
      </c>
      <c r="D128" s="71">
        <v>2</v>
      </c>
      <c r="E128" s="72">
        <f t="shared" si="2"/>
        <v>299.5</v>
      </c>
    </row>
    <row r="129" spans="1:5" ht="12">
      <c r="A129" s="7">
        <v>53</v>
      </c>
      <c r="B129" s="5" t="s">
        <v>272</v>
      </c>
      <c r="C129" s="71">
        <v>531.8</v>
      </c>
      <c r="D129" s="71">
        <v>77.8</v>
      </c>
      <c r="E129" s="72">
        <f t="shared" si="2"/>
        <v>609.5999999999999</v>
      </c>
    </row>
    <row r="130" spans="1:5" ht="12">
      <c r="A130" s="7">
        <v>54</v>
      </c>
      <c r="B130" s="5" t="s">
        <v>273</v>
      </c>
      <c r="C130" s="71">
        <v>233.3</v>
      </c>
      <c r="D130" s="71">
        <v>30.9</v>
      </c>
      <c r="E130" s="72">
        <f t="shared" si="2"/>
        <v>264.2</v>
      </c>
    </row>
    <row r="131" spans="1:5" ht="12">
      <c r="A131" s="7">
        <v>55</v>
      </c>
      <c r="B131" s="5" t="s">
        <v>274</v>
      </c>
      <c r="C131" s="71">
        <v>531.3</v>
      </c>
      <c r="D131" s="71">
        <v>44.8</v>
      </c>
      <c r="E131" s="72">
        <f t="shared" si="2"/>
        <v>576.0999999999999</v>
      </c>
    </row>
    <row r="132" spans="1:5" ht="12">
      <c r="A132" s="7">
        <v>56</v>
      </c>
      <c r="B132" s="5" t="s">
        <v>275</v>
      </c>
      <c r="C132" s="71">
        <v>596.9</v>
      </c>
      <c r="D132" s="71">
        <v>3.4</v>
      </c>
      <c r="E132" s="72">
        <f t="shared" si="2"/>
        <v>600.3</v>
      </c>
    </row>
    <row r="133" spans="1:5" ht="12">
      <c r="A133" s="7">
        <v>57</v>
      </c>
      <c r="B133" s="5" t="s">
        <v>276</v>
      </c>
      <c r="C133" s="71">
        <v>297.4</v>
      </c>
      <c r="D133" s="71">
        <v>65.7</v>
      </c>
      <c r="E133" s="72">
        <f t="shared" si="2"/>
        <v>363.09999999999997</v>
      </c>
    </row>
    <row r="134" spans="1:5" ht="12">
      <c r="A134" s="7">
        <v>58</v>
      </c>
      <c r="B134" s="5" t="s">
        <v>277</v>
      </c>
      <c r="C134" s="71">
        <v>410.6</v>
      </c>
      <c r="D134" s="71">
        <v>0.09</v>
      </c>
      <c r="E134" s="72">
        <f t="shared" si="2"/>
        <v>410.69</v>
      </c>
    </row>
    <row r="135" spans="1:5" ht="12">
      <c r="A135" s="7">
        <v>59</v>
      </c>
      <c r="B135" s="5" t="s">
        <v>278</v>
      </c>
      <c r="C135" s="71">
        <v>250.1</v>
      </c>
      <c r="D135" s="71">
        <v>1.5</v>
      </c>
      <c r="E135" s="72">
        <f t="shared" si="2"/>
        <v>251.6</v>
      </c>
    </row>
    <row r="136" spans="1:5" ht="12">
      <c r="A136" s="7">
        <v>60</v>
      </c>
      <c r="B136" s="5" t="s">
        <v>279</v>
      </c>
      <c r="C136" s="71">
        <v>194.6</v>
      </c>
      <c r="D136" s="71">
        <v>2.2</v>
      </c>
      <c r="E136" s="72">
        <f t="shared" si="2"/>
        <v>196.79999999999998</v>
      </c>
    </row>
    <row r="137" spans="1:5" ht="12">
      <c r="A137" s="7">
        <v>61</v>
      </c>
      <c r="B137" s="5" t="s">
        <v>280</v>
      </c>
      <c r="C137" s="71">
        <v>245.9</v>
      </c>
      <c r="D137" s="71">
        <v>1.8</v>
      </c>
      <c r="E137" s="72">
        <f t="shared" si="2"/>
        <v>247.70000000000002</v>
      </c>
    </row>
    <row r="138" spans="1:5" ht="12">
      <c r="A138" s="7">
        <v>62</v>
      </c>
      <c r="B138" s="5" t="s">
        <v>281</v>
      </c>
      <c r="C138" s="71">
        <v>47.3</v>
      </c>
      <c r="D138" s="71">
        <v>0.7</v>
      </c>
      <c r="E138" s="72">
        <f t="shared" si="2"/>
        <v>48</v>
      </c>
    </row>
    <row r="139" spans="1:5" ht="12">
      <c r="A139" s="7">
        <v>63</v>
      </c>
      <c r="B139" s="5" t="s">
        <v>282</v>
      </c>
      <c r="C139" s="71">
        <v>165.6</v>
      </c>
      <c r="D139" s="71">
        <v>0</v>
      </c>
      <c r="E139" s="72">
        <f aca="true" t="shared" si="3" ref="E139:E146">C139+D139</f>
        <v>165.6</v>
      </c>
    </row>
    <row r="140" spans="1:5" ht="12">
      <c r="A140" s="7">
        <v>64</v>
      </c>
      <c r="B140" s="5" t="s">
        <v>283</v>
      </c>
      <c r="C140" s="71">
        <v>314.3</v>
      </c>
      <c r="D140" s="71">
        <v>15</v>
      </c>
      <c r="E140" s="72">
        <f t="shared" si="3"/>
        <v>329.3</v>
      </c>
    </row>
    <row r="141" spans="1:5" ht="12">
      <c r="A141" s="7">
        <v>65</v>
      </c>
      <c r="B141" s="5" t="s">
        <v>284</v>
      </c>
      <c r="C141" s="71">
        <v>63.2</v>
      </c>
      <c r="D141" s="71">
        <v>1</v>
      </c>
      <c r="E141" s="72">
        <f t="shared" si="3"/>
        <v>64.2</v>
      </c>
    </row>
    <row r="142" spans="1:5" ht="12">
      <c r="A142" s="7">
        <v>66</v>
      </c>
      <c r="B142" s="5" t="s">
        <v>285</v>
      </c>
      <c r="C142" s="71">
        <v>585.9</v>
      </c>
      <c r="D142" s="71">
        <v>33.2</v>
      </c>
      <c r="E142" s="72">
        <f t="shared" si="3"/>
        <v>619.1</v>
      </c>
    </row>
    <row r="143" spans="1:5" ht="12">
      <c r="A143" s="7">
        <v>67</v>
      </c>
      <c r="B143" s="5" t="s">
        <v>286</v>
      </c>
      <c r="C143" s="71">
        <v>204.9</v>
      </c>
      <c r="D143" s="71">
        <v>0</v>
      </c>
      <c r="E143" s="72">
        <f t="shared" si="3"/>
        <v>204.9</v>
      </c>
    </row>
    <row r="144" spans="1:5" ht="12">
      <c r="A144" s="7">
        <v>68</v>
      </c>
      <c r="B144" s="5" t="s">
        <v>287</v>
      </c>
      <c r="C144" s="71">
        <v>299.5</v>
      </c>
      <c r="D144" s="71">
        <v>0</v>
      </c>
      <c r="E144" s="72">
        <f t="shared" si="3"/>
        <v>299.5</v>
      </c>
    </row>
    <row r="145" spans="1:5" ht="12">
      <c r="A145" s="7">
        <v>69</v>
      </c>
      <c r="B145" s="5" t="s">
        <v>288</v>
      </c>
      <c r="C145" s="71">
        <v>213.7</v>
      </c>
      <c r="D145" s="71">
        <v>50</v>
      </c>
      <c r="E145" s="72">
        <f t="shared" si="3"/>
        <v>263.7</v>
      </c>
    </row>
    <row r="146" spans="1:5" ht="12">
      <c r="A146" s="7">
        <v>70</v>
      </c>
      <c r="B146" s="5" t="s">
        <v>289</v>
      </c>
      <c r="C146" s="71">
        <v>636</v>
      </c>
      <c r="D146" s="71">
        <v>2715.9</v>
      </c>
      <c r="E146" s="72">
        <f t="shared" si="3"/>
        <v>3351.9</v>
      </c>
    </row>
    <row r="147" spans="1:7" ht="12">
      <c r="A147" s="22"/>
      <c r="B147" s="22"/>
      <c r="C147" s="71"/>
      <c r="D147" s="71"/>
      <c r="E147" s="72">
        <f>SUM(E77:E146)</f>
        <v>29019.490999999995</v>
      </c>
      <c r="F147" s="24"/>
      <c r="G147" s="24"/>
    </row>
    <row r="148" spans="1:7" ht="12">
      <c r="A148" s="22"/>
      <c r="B148" s="22" t="s">
        <v>163</v>
      </c>
      <c r="C148" s="71"/>
      <c r="D148" s="71"/>
      <c r="E148" s="71">
        <f>E147+E71+E74+E61</f>
        <v>79683.991</v>
      </c>
      <c r="F148" s="24"/>
      <c r="G148" s="24"/>
    </row>
    <row r="149" spans="1:7" ht="12" customHeight="1">
      <c r="A149" s="87"/>
      <c r="B149" s="87"/>
      <c r="C149" s="87"/>
      <c r="D149" s="87"/>
      <c r="E149" s="87"/>
      <c r="F149" s="24"/>
      <c r="G149" s="24"/>
    </row>
    <row r="150" spans="1:7" ht="30" customHeight="1">
      <c r="A150" s="88"/>
      <c r="B150" s="88"/>
      <c r="C150" s="88"/>
      <c r="D150" s="88"/>
      <c r="E150" s="88"/>
      <c r="F150" s="24"/>
      <c r="G150" s="24"/>
    </row>
    <row r="151" spans="1:7" ht="12">
      <c r="A151" s="101"/>
      <c r="B151" s="101"/>
      <c r="C151" s="101"/>
      <c r="D151" s="101"/>
      <c r="E151" s="101"/>
      <c r="F151" s="24"/>
      <c r="G151" s="24"/>
    </row>
  </sheetData>
  <sheetProtection/>
  <mergeCells count="13">
    <mergeCell ref="B76:E76"/>
    <mergeCell ref="A14:A15"/>
    <mergeCell ref="B14:B15"/>
    <mergeCell ref="A12:E12"/>
    <mergeCell ref="A8:E8"/>
    <mergeCell ref="A9:E9"/>
    <mergeCell ref="A10:E10"/>
    <mergeCell ref="A11:E11"/>
    <mergeCell ref="A151:E151"/>
    <mergeCell ref="C14:E14"/>
    <mergeCell ref="B16:E16"/>
    <mergeCell ref="B62:E62"/>
    <mergeCell ref="B73:E73"/>
  </mergeCells>
  <printOptions/>
  <pageMargins left="1.141732283464567" right="0.35433070866141736" top="0.7874015748031497" bottom="1.1023622047244095" header="0.5118110236220472" footer="0.5118110236220472"/>
  <pageSetup fitToHeight="3" fitToWidth="1" horizontalDpi="600" verticalDpi="600" orientation="portrait" paperSize="9" scale="84" r:id="rId1"/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2015-05-14T05:05:25Z</cp:lastPrinted>
  <dcterms:created xsi:type="dcterms:W3CDTF">2012-07-02T11:45:50Z</dcterms:created>
  <dcterms:modified xsi:type="dcterms:W3CDTF">2015-05-21T11:33:12Z</dcterms:modified>
  <cp:category/>
  <cp:version/>
  <cp:contentType/>
  <cp:contentStatus/>
</cp:coreProperties>
</file>