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15 год " sheetId="1" r:id="rId1"/>
  </sheets>
  <definedNames>
    <definedName name="_xlnm._FilterDatabase" localSheetId="0" hidden="1">'2015 год '!$A$23:$K$938</definedName>
    <definedName name="Z_2EB26682_1E14_41BF_A300_9871E16F1E86_.wvu.FilterData" localSheetId="0" hidden="1">'2015 год '!$A$24:$F$938</definedName>
    <definedName name="Z_2EB26682_1E14_41BF_A300_9871E16F1E86_.wvu.PrintArea" localSheetId="0" hidden="1">'2015 год '!$A$9:$F$938</definedName>
    <definedName name="Z_3708D406_71C9_49CC_A67A_2D2190B41A82_.wvu.FilterData" localSheetId="0" hidden="1">'2015 год '!$A$24:$K$938</definedName>
    <definedName name="Z_742DD9F2_8A71_4480_AC11_A74320E5619E_.wvu.FilterData" localSheetId="0" hidden="1">'2015 год '!$A$24:$K$938</definedName>
    <definedName name="Z_829AF458_32E9_4EBE_8AEA_C1C6BE533EAE_.wvu.FilterData" localSheetId="0" hidden="1">'2015 год '!$A$24:$K$938</definedName>
    <definedName name="Z_829AF458_32E9_4EBE_8AEA_C1C6BE533EAE_.wvu.PrintArea" localSheetId="0" hidden="1">'2015 год '!$A$9:$F$954</definedName>
    <definedName name="Z_829AF458_32E9_4EBE_8AEA_C1C6BE533EAE_.wvu.PrintTitles" localSheetId="0" hidden="1">'2015 год '!$21:$23</definedName>
    <definedName name="Z_829AF458_32E9_4EBE_8AEA_C1C6BE533EAE_.wvu.Rows" localSheetId="0" hidden="1">'2015 год '!#REF!</definedName>
    <definedName name="Z_8E538972_DCB6_4DF0_B6A0_1DAF22EE85A5_.wvu.FilterData" localSheetId="0" hidden="1">'2015 год '!$A$24:$F$938</definedName>
    <definedName name="Z_8E538972_DCB6_4DF0_B6A0_1DAF22EE85A5_.wvu.PrintArea" localSheetId="0" hidden="1">'2015 год '!$A$9:$F$938</definedName>
    <definedName name="Z_9EB2C763_BF55_421A_9B12_FB75DAF70818_.wvu.FilterData" localSheetId="0" hidden="1">'2015 год '!$A$18:$F$938</definedName>
    <definedName name="Z_A8461B4A_AE19_4EF2_B6F9_F9B973A06FD1_.wvu.FilterData" localSheetId="0" hidden="1">'2015 год '!$A$24:$F$938</definedName>
    <definedName name="Z_A8461B4A_AE19_4EF2_B6F9_F9B973A06FD1_.wvu.PrintArea" localSheetId="0" hidden="1">'2015 год '!$A$9:$F$938</definedName>
    <definedName name="Z_B3932895_A846_447D_8D2E_8A665303D3FC_.wvu.FilterData" localSheetId="0" hidden="1">'2015 год '!$A$18:$F$938</definedName>
    <definedName name="Z_B452F1D7_E242_4E66_AEEE_75884A98B5E4_.wvu.FilterData" localSheetId="0" hidden="1">'2015 год '!$A$24:$K$938</definedName>
    <definedName name="Z_D0B00AD6_8582_4105_AEEE_647425D7F180_.wvu.FilterData" localSheetId="0" hidden="1">'2015 год '!$A$18:$F$938</definedName>
    <definedName name="Z_DEEAFF70_302D_4EE4_8D9C_7BB1BBA5AB30_.wvu.FilterData" localSheetId="0" hidden="1">'2015 год '!$A$24:$K$938</definedName>
    <definedName name="Z_E26F76F3_B5FD_4390_A599_DF837A45612F_.wvu.FilterData" localSheetId="0" hidden="1">'2015 год '!$A$18:$F$938</definedName>
    <definedName name="Z_E6BE4A0A_65C8_4D78_A29F_DDA803BF07E4_.wvu.FilterData" localSheetId="0" hidden="1">'2015 год '!$A$24:$F$938</definedName>
    <definedName name="Z_E6BE4A0A_65C8_4D78_A29F_DDA803BF07E4_.wvu.PrintArea" localSheetId="0" hidden="1">'2015 год '!$A$9:$F$938</definedName>
    <definedName name="Z_F18CDA44_02C6_4BCD_94BC_76E4781E3F1C_.wvu.FilterData" localSheetId="0" hidden="1">'2015 год '!$A$24:$F$938</definedName>
    <definedName name="Z_F18CDA44_02C6_4BCD_94BC_76E4781E3F1C_.wvu.PrintArea" localSheetId="0" hidden="1">'2015 год '!$A$9:$F$938</definedName>
    <definedName name="_xlnm.Print_Area" localSheetId="0">'2015 год '!$A$1:$F$938</definedName>
  </definedNames>
  <calcPr fullCalcOnLoad="1"/>
</workbook>
</file>

<file path=xl/sharedStrings.xml><?xml version="1.0" encoding="utf-8"?>
<sst xmlns="http://schemas.openxmlformats.org/spreadsheetml/2006/main" count="3673" uniqueCount="624">
  <si>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</si>
  <si>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</si>
  <si>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</si>
  <si>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бюджета Московской области</t>
  </si>
  <si>
    <t xml:space="preserve">Субсидия на реализацию мероприятий муниципальных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 за счет средств федерального бюджета </t>
  </si>
  <si>
    <t>1105064</t>
  </si>
  <si>
    <t>Обслуживание государственного внутреннего и муниципального долга</t>
  </si>
  <si>
    <t>9500700</t>
  </si>
  <si>
    <t>9500798</t>
  </si>
  <si>
    <t>9500799</t>
  </si>
  <si>
    <t>Мероприятия в сфере культуры и кинематографии</t>
  </si>
  <si>
    <t xml:space="preserve">Расходы бюджета Сергиево-Посадского муниципального района на 2015 год   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</si>
  <si>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</si>
  <si>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360</t>
  </si>
  <si>
    <t>Иные выплаты населению</t>
  </si>
  <si>
    <t>Обеспечение деятельности  подведомственных учреждений</t>
  </si>
  <si>
    <t>1108888</t>
  </si>
  <si>
    <t xml:space="preserve">Межбюджетные трансферты общего характера бюджетам бюджетной системы  Российской Федерации </t>
  </si>
  <si>
    <t>1108878</t>
  </si>
  <si>
    <t xml:space="preserve">Проведение мероприятий в целях стимулирования хозяйствующих субъектов, осуществляющих торговую деятельность     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</si>
  <si>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</si>
  <si>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</si>
  <si>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</si>
  <si>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</si>
  <si>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Расходы на содержание МКУ "Центр муниципальных закупок Сергиево-Посадского муниципального района" за счет иных межбюджетных трансфертов из бюджетов поселений</t>
  </si>
  <si>
    <t>1259061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</si>
  <si>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</si>
  <si>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</si>
  <si>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</si>
  <si>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Проведение мероприятий физической культуры и спорта управлением по физической культуре, спорту и работе с молодежью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</si>
  <si>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</si>
  <si>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</si>
  <si>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</si>
  <si>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1000000</t>
  </si>
  <si>
    <t>1008888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</si>
  <si>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</si>
  <si>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</si>
  <si>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</si>
  <si>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</si>
  <si>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1505013</t>
  </si>
  <si>
    <t>0546435</t>
  </si>
  <si>
    <t>Субсидия на софинансирование мероприятий на строительство крытого спортивного объекта с искусственным льдом</t>
  </si>
  <si>
    <t>0546251</t>
  </si>
  <si>
    <t>0546252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</si>
  <si>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</si>
  <si>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</si>
  <si>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</si>
  <si>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</si>
  <si>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</si>
  <si>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0848881</t>
  </si>
  <si>
    <t>9500598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</si>
  <si>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</si>
  <si>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</si>
  <si>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Муниципальная программа  "Муниципальное управление на 2015-2019 годы"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</si>
  <si>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</si>
  <si>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</si>
  <si>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 "Молодое поколение  Сергиево-Посадского муниципального района 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</si>
  <si>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</si>
  <si>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</si>
  <si>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</si>
  <si>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</si>
  <si>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(замена покрытия  футбольного поля, ремонт беговых дорожек и трибун стадиона  МУ СОЦ "Луч")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</si>
  <si>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</si>
  <si>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Подпрограмма IV "Обеспечивающая подпрограмма "</t>
  </si>
  <si>
    <t>2510440</t>
  </si>
  <si>
    <t>Расходы на выплаты руководителю Контрольно-счетной комиссии Сергиево-Посадского муниципального района за счет иных межбюджетных трансфертов из бюджетов поселений</t>
  </si>
  <si>
    <t>Муниципальная программа Сергиево-Посадского муниципального района "Жилище"</t>
  </si>
  <si>
    <t>Подпрограмма 5 "Обеспечение жильем ветеранов, инвалидов и семей, имеющих детей инвалидов"</t>
  </si>
  <si>
    <t>от  17.12.2015 № 03/02-МЗ</t>
  </si>
  <si>
    <t>Подпрограмма 2 "Обеспечение жильем детей-сирот и детей, оставшихся без попечения родителей, а также лиц из их числа"</t>
  </si>
  <si>
    <t>0528882</t>
  </si>
  <si>
    <t>Подпрограмма 4 "Улучшение жилищных условий семей, имеющих семь и более детей"</t>
  </si>
  <si>
    <t>460</t>
  </si>
  <si>
    <t>Капитальные вложения в объекты недвижимого имущества государственной (муниципальной) собственности</t>
  </si>
  <si>
    <t>1707900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</si>
  <si>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</si>
  <si>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</si>
  <si>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</si>
  <si>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</si>
  <si>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</si>
  <si>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</si>
  <si>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</si>
  <si>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Подпрограмма 1 "Управление муниципальными финансами"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</si>
  <si>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</si>
  <si>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</si>
  <si>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</si>
  <si>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 программа  "Архитектура и градостроительство Сергиево-Посадского муниципального района на 2015-2019 годы"</t>
  </si>
  <si>
    <t>1248888</t>
  </si>
  <si>
    <t>1708888</t>
  </si>
  <si>
    <t>1900000</t>
  </si>
  <si>
    <t>1900400</t>
  </si>
  <si>
    <t>1900497</t>
  </si>
  <si>
    <t>1900498</t>
  </si>
  <si>
    <t>1900499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</si>
  <si>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</si>
  <si>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</si>
  <si>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1226069</t>
  </si>
  <si>
    <t>Подпрограмма 2 "Развитие архивного дела Сергиево-Посадского муниципального района Московской области на 2015-2019 годы"</t>
  </si>
  <si>
    <t>1228888</t>
  </si>
  <si>
    <t>1220400</t>
  </si>
  <si>
    <t>1220497</t>
  </si>
  <si>
    <t>Муниципальная программа  "Безопасность  Сергиево-Посадского муниципального района на 2015 -2019 годы"</t>
  </si>
  <si>
    <t>1408888</t>
  </si>
  <si>
    <t>Транспортировка в морг с мест обнаружения или происшествия умерших</t>
  </si>
  <si>
    <t>1608888</t>
  </si>
  <si>
    <t>0409</t>
  </si>
  <si>
    <t>Дорожное хозяйство (дорожные фонды)</t>
  </si>
  <si>
    <t>0503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</si>
  <si>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</si>
  <si>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</si>
  <si>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</si>
  <si>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0108888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</si>
  <si>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</si>
  <si>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</si>
  <si>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</si>
  <si>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1218888</t>
  </si>
  <si>
    <t>0550000</t>
  </si>
  <si>
    <t>0550497</t>
  </si>
  <si>
    <t>0550498</t>
  </si>
  <si>
    <t>0550499</t>
  </si>
  <si>
    <t>2500000</t>
  </si>
  <si>
    <t>2517777</t>
  </si>
  <si>
    <t>2517771</t>
  </si>
  <si>
    <t>0218882</t>
  </si>
  <si>
    <t>0337772</t>
  </si>
  <si>
    <t>Муниципальная программа  "Доступная среда  на 2014 -2018 годы"</t>
  </si>
  <si>
    <t>2308888</t>
  </si>
  <si>
    <t>в том числе за счет  межбюджетных трансфертов</t>
  </si>
  <si>
    <t>Приложение № 4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</si>
  <si>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</si>
  <si>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</si>
  <si>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</si>
  <si>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</si>
  <si>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</si>
  <si>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</si>
  <si>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</si>
  <si>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</si>
  <si>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</si>
  <si>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</si>
  <si>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</si>
  <si>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Другие вопросы в области средств массовой информации</t>
  </si>
  <si>
    <t>1204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</si>
  <si>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</si>
  <si>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0106208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</si>
  <si>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</si>
  <si>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</si>
  <si>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</si>
  <si>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1250100</t>
  </si>
  <si>
    <t>Обеспечивающая подпрограмма</t>
  </si>
  <si>
    <t>1250400</t>
  </si>
  <si>
    <t>1250497</t>
  </si>
  <si>
    <t>1250498</t>
  </si>
  <si>
    <t>1250499</t>
  </si>
  <si>
    <t>1259059</t>
  </si>
  <si>
    <t>Социальное обеспечение и иные выплаты населению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</si>
  <si>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</si>
  <si>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</si>
  <si>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</si>
  <si>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</si>
  <si>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</si>
  <si>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</si>
  <si>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</si>
  <si>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</si>
  <si>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</si>
  <si>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</si>
  <si>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</si>
  <si>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1400000</t>
  </si>
  <si>
    <t>Подпрограмма  "Обеспечение мероприятий гражданской обороны"</t>
  </si>
  <si>
    <t>Массовый спорт</t>
  </si>
  <si>
    <t>1102</t>
  </si>
  <si>
    <t>Межбюджетные трансферты</t>
  </si>
  <si>
    <t xml:space="preserve">Межбюджетные трансферты  </t>
  </si>
  <si>
    <t>0818900</t>
  </si>
  <si>
    <t>0848900</t>
  </si>
  <si>
    <t>1008900</t>
  </si>
  <si>
    <t>2208900</t>
  </si>
  <si>
    <t>0218900</t>
  </si>
  <si>
    <t>9908900</t>
  </si>
  <si>
    <t>1408900</t>
  </si>
  <si>
    <t xml:space="preserve">Иные межбюджетные трансферты </t>
  </si>
  <si>
    <t>от 24.12.2014  № 58/1-МЗ</t>
  </si>
  <si>
    <t>1906070</t>
  </si>
  <si>
    <t>0928888</t>
  </si>
  <si>
    <t>1105</t>
  </si>
  <si>
    <t>Другие вопросы в области физической культуры и спорта</t>
  </si>
  <si>
    <t xml:space="preserve">Реализация мероприятий по капитальному ремонту муниципального имущества </t>
  </si>
  <si>
    <t>1008889</t>
  </si>
  <si>
    <t>0926082</t>
  </si>
  <si>
    <t>0238882</t>
  </si>
  <si>
    <t>Укрепление материально-технической базы учреждений дополнительного образования</t>
  </si>
  <si>
    <t>0540000</t>
  </si>
  <si>
    <t>0600000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</si>
  <si>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</si>
  <si>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</si>
  <si>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</si>
  <si>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</si>
  <si>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</si>
  <si>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</si>
  <si>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 xml:space="preserve">Субсидия на капитальные вложения в объекты дошкольного образования в целях ликвидации очередности </t>
  </si>
  <si>
    <t>0316430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</si>
  <si>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</si>
  <si>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</si>
  <si>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</si>
  <si>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</si>
  <si>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9900603</t>
  </si>
  <si>
    <t>9900604</t>
  </si>
  <si>
    <t>2528881</t>
  </si>
  <si>
    <t>Подпрограмма II "Организация и осуществление мероприятий межпоселенческого характера для детей и молодежи"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</si>
  <si>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</si>
  <si>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</si>
  <si>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</si>
  <si>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</si>
  <si>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0946019</t>
  </si>
  <si>
    <t>0237771</t>
  </si>
  <si>
    <t>Подпрограмма VII "Создание условий для развития туризма"</t>
  </si>
  <si>
    <t>0278881</t>
  </si>
  <si>
    <t>Оформление мест захоронений</t>
  </si>
  <si>
    <t>0228882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</si>
  <si>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</si>
  <si>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9900600</t>
  </si>
  <si>
    <t>1908891</t>
  </si>
  <si>
    <t>1908892</t>
  </si>
  <si>
    <t>Фонд земельных ресурсов</t>
  </si>
  <si>
    <t>1908893</t>
  </si>
  <si>
    <t>1908894</t>
  </si>
  <si>
    <t>1499590</t>
  </si>
  <si>
    <t>Расходы на содержание МБУ "Дорожник"</t>
  </si>
  <si>
    <t>Оформление земельных участков</t>
  </si>
  <si>
    <t>1908895</t>
  </si>
  <si>
    <t>Оценка рыночной стоимости арендной платы земельных участков</t>
  </si>
  <si>
    <t>0918888</t>
  </si>
  <si>
    <t>0321759</t>
  </si>
  <si>
    <t>Подпрограмма 1 "Обеспечение жильем молодых семей"</t>
  </si>
  <si>
    <t>0330440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</si>
  <si>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</si>
  <si>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</si>
  <si>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0310440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</si>
  <si>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</si>
  <si>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1706013</t>
  </si>
  <si>
    <t>1706014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</si>
  <si>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</si>
  <si>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</si>
  <si>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</si>
  <si>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</si>
  <si>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0210440</t>
  </si>
  <si>
    <t>0220440</t>
  </si>
  <si>
    <t>0520440</t>
  </si>
  <si>
    <t>0240440</t>
  </si>
  <si>
    <t>Субсидия на организацию деятельности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</si>
  <si>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1706063</t>
  </si>
  <si>
    <t>1705392</t>
  </si>
  <si>
    <t>Субвенция на выплату компенсации  родительской платы за присотр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</si>
  <si>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</si>
  <si>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</si>
  <si>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</si>
  <si>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</si>
  <si>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1706066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</si>
  <si>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</si>
  <si>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1706067</t>
  </si>
  <si>
    <t>9900061</t>
  </si>
  <si>
    <t>Иные 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</si>
  <si>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Иные 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</si>
  <si>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Иные 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</si>
  <si>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Иные 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</si>
  <si>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Иные 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</si>
  <si>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Иные 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</si>
  <si>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Иные 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</si>
  <si>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Иные 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</si>
  <si>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Иные 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</si>
  <si>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 xml:space="preserve">Иные межбюджетные трансферты  сельским поселениям муниципального района на обеспечение организации исполнения переданных полномочий 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</si>
  <si>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</si>
  <si>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730</t>
  </si>
  <si>
    <t>Прочая закупка товаров, работ и услуг для обеспечения муниципальных нужд</t>
  </si>
  <si>
    <t xml:space="preserve">Субсидия на реализацию подпрограммы "Улучшение жилищных условий семей, имеющих семь и более детей" государственной программы Московской области "Жилище" 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</si>
  <si>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</si>
  <si>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некоммерческим организациям (за исключением муниципальных учреждений)</t>
  </si>
  <si>
    <t>810</t>
  </si>
  <si>
    <t>Московской области</t>
  </si>
  <si>
    <t>Другие вопросы в области здравоохранения</t>
  </si>
  <si>
    <t>Другие вопросы в области культуры, кинематографии</t>
  </si>
  <si>
    <t>0804</t>
  </si>
  <si>
    <t>320</t>
  </si>
  <si>
    <t>Социальные выплаты гражданам, кроме публичных нормативных социальных выплат</t>
  </si>
  <si>
    <t>0320440</t>
  </si>
  <si>
    <t>870</t>
  </si>
  <si>
    <t>Резервные средства</t>
  </si>
  <si>
    <t>тыс.руб.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</si>
  <si>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</si>
  <si>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</si>
  <si>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</si>
  <si>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</si>
  <si>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</si>
  <si>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</si>
  <si>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2300000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</si>
  <si>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</si>
  <si>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</si>
  <si>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</si>
  <si>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</si>
  <si>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</si>
  <si>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</si>
  <si>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Защита населения и территории от 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</si>
  <si>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</si>
  <si>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</si>
  <si>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</si>
  <si>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 xml:space="preserve">Функционирование высшего должностного лица субъекта Российской Федерации и муниципального образования  </t>
  </si>
  <si>
    <t>Проведение массовых и общественных мероприятий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</si>
  <si>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</si>
  <si>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0517771</t>
  </si>
  <si>
    <t>Прочие межбюджетные трансферты общего характера</t>
  </si>
  <si>
    <t>Прочие расходы на обеспечение деятельности центрального аппарата</t>
  </si>
  <si>
    <t xml:space="preserve">Физическая культура </t>
  </si>
  <si>
    <t>1101</t>
  </si>
  <si>
    <t>Средства массовой информации</t>
  </si>
  <si>
    <t>1200</t>
  </si>
  <si>
    <t>1201</t>
  </si>
  <si>
    <t>1202</t>
  </si>
  <si>
    <t>1300</t>
  </si>
  <si>
    <t>1301</t>
  </si>
  <si>
    <t>0113</t>
  </si>
  <si>
    <t>Культура, кинематография</t>
  </si>
  <si>
    <t>Здравоохранение</t>
  </si>
  <si>
    <t>0909</t>
  </si>
  <si>
    <t>Обслуживание муниципального долга</t>
  </si>
  <si>
    <t>Закупка товаров, работ и услуг в сфере информационно-коммуникационных технологий</t>
  </si>
  <si>
    <t>1100</t>
  </si>
  <si>
    <t>630</t>
  </si>
  <si>
    <t>Другие расходы на содержание  учреждений</t>
  </si>
  <si>
    <t>Субсидия на 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</si>
  <si>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1406024</t>
  </si>
  <si>
    <t>Наименование</t>
  </si>
  <si>
    <t>Код</t>
  </si>
  <si>
    <t>ВСЕГО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</si>
  <si>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</si>
  <si>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</si>
  <si>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</si>
  <si>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</si>
  <si>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</si>
  <si>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</si>
  <si>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0600</t>
  </si>
  <si>
    <t>0700</t>
  </si>
  <si>
    <t>0701</t>
  </si>
  <si>
    <t>0707</t>
  </si>
  <si>
    <t>0900</t>
  </si>
  <si>
    <t>Жилищно-коммунальное хозяйство</t>
  </si>
  <si>
    <t>Образование</t>
  </si>
  <si>
    <t>Дошкольное образование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</si>
  <si>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</si>
  <si>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</si>
  <si>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Общее образование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</si>
  <si>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</si>
  <si>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</si>
  <si>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</si>
  <si>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</si>
  <si>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</si>
  <si>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</si>
  <si>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</si>
  <si>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</si>
  <si>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</si>
  <si>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</si>
  <si>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</si>
  <si>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</si>
  <si>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</si>
  <si>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</si>
  <si>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</si>
  <si>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</si>
  <si>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</si>
  <si>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</si>
  <si>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</si>
  <si>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</si>
  <si>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</si>
  <si>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0702</t>
  </si>
  <si>
    <t>Молодежная политика и оздоровление детей</t>
  </si>
  <si>
    <t>Другие вопросы в области образования</t>
  </si>
  <si>
    <t>0709</t>
  </si>
  <si>
    <t>Софинансирование мероприятий на строительство крытого спортивного объекта с искусственным льдом</t>
  </si>
  <si>
    <t>0215144</t>
  </si>
  <si>
    <t>0548887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</si>
  <si>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</si>
  <si>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0800</t>
  </si>
  <si>
    <t>Культура</t>
  </si>
  <si>
    <t>0801</t>
  </si>
  <si>
    <t>0546054</t>
  </si>
  <si>
    <t>1000</t>
  </si>
  <si>
    <t>Пенсионное обеспечение</t>
  </si>
  <si>
    <t>1004</t>
  </si>
  <si>
    <t>Социальное обеспечение населения</t>
  </si>
  <si>
    <t>1003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</si>
  <si>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</si>
  <si>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</si>
  <si>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</si>
  <si>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</si>
  <si>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</si>
  <si>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0200</t>
  </si>
  <si>
    <t>Мероприятия по обеспечению мобилизационной готовности экономики</t>
  </si>
  <si>
    <t>Транспорт</t>
  </si>
  <si>
    <t>0408</t>
  </si>
  <si>
    <t>0102</t>
  </si>
  <si>
    <t>Глава муниципального образования</t>
  </si>
  <si>
    <t>0111</t>
  </si>
  <si>
    <t>0204</t>
  </si>
  <si>
    <t>0412</t>
  </si>
  <si>
    <t>0505</t>
  </si>
  <si>
    <t>0605</t>
  </si>
  <si>
    <t>Доплаты к пенсиям, дополнильное пенсионное обеспечение</t>
  </si>
  <si>
    <t>1400</t>
  </si>
  <si>
    <t>1403</t>
  </si>
  <si>
    <t>к решению Совета депутатов</t>
  </si>
  <si>
    <t>Сергиево-Посадского</t>
  </si>
  <si>
    <t>муниципального района</t>
  </si>
  <si>
    <t>0706</t>
  </si>
  <si>
    <t>Высшее и послевузовское профессиональное образование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</si>
  <si>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</si>
  <si>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</si>
  <si>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0107</t>
  </si>
  <si>
    <t>Приложение № 2</t>
  </si>
  <si>
    <t>Обеспечение проведение выборов и референдумов</t>
  </si>
  <si>
    <t>Проведение выборов и референдумов</t>
  </si>
  <si>
    <t>Центральный аппарат (технические служащие)</t>
  </si>
  <si>
    <t>Центральный аппарат (муниципальные служащие)</t>
  </si>
  <si>
    <t>Коммунальное хозяйство</t>
  </si>
  <si>
    <t>0502</t>
  </si>
  <si>
    <t>540</t>
  </si>
  <si>
    <t>Иные межбюджетные трансферты</t>
  </si>
  <si>
    <t>9500000</t>
  </si>
  <si>
    <t>9500901</t>
  </si>
  <si>
    <t>9500400</t>
  </si>
  <si>
    <t>9500497</t>
  </si>
  <si>
    <t>9500498</t>
  </si>
  <si>
    <t>9500499</t>
  </si>
  <si>
    <t>0326068</t>
  </si>
  <si>
    <t>9500501</t>
  </si>
  <si>
    <t>9900060</t>
  </si>
  <si>
    <t>0416142</t>
  </si>
  <si>
    <t>0416141</t>
  </si>
  <si>
    <t>1250000</t>
  </si>
  <si>
    <t>1220000</t>
  </si>
  <si>
    <t>1230000</t>
  </si>
  <si>
    <t>1240000</t>
  </si>
  <si>
    <t>1700000</t>
  </si>
  <si>
    <t>0800000</t>
  </si>
  <si>
    <t>0810000</t>
  </si>
  <si>
    <t>0820000</t>
  </si>
  <si>
    <t>0840000</t>
  </si>
  <si>
    <t>1300000</t>
  </si>
  <si>
    <t>1600000</t>
  </si>
  <si>
    <t>9900000</t>
  </si>
  <si>
    <t>1100000</t>
  </si>
  <si>
    <t>1500000</t>
  </si>
  <si>
    <t>2000000</t>
  </si>
  <si>
    <t>2200000</t>
  </si>
  <si>
    <t>0400000</t>
  </si>
  <si>
    <t>0700000</t>
  </si>
  <si>
    <t>1800000</t>
  </si>
  <si>
    <t>0230000</t>
  </si>
  <si>
    <t>0200000</t>
  </si>
  <si>
    <t>0500000</t>
  </si>
  <si>
    <t>0830000</t>
  </si>
  <si>
    <t>2510000</t>
  </si>
  <si>
    <t>2520000</t>
  </si>
  <si>
    <t>0340400</t>
  </si>
  <si>
    <t>0210000</t>
  </si>
  <si>
    <t>0220000</t>
  </si>
  <si>
    <t>0240000</t>
  </si>
  <si>
    <t>0270000</t>
  </si>
  <si>
    <t>0250400</t>
  </si>
  <si>
    <t>0100000</t>
  </si>
  <si>
    <t>0900000</t>
  </si>
  <si>
    <t>0910000</t>
  </si>
  <si>
    <t>0940000</t>
  </si>
  <si>
    <t>0950000</t>
  </si>
  <si>
    <t>0920000</t>
  </si>
  <si>
    <t>0510000</t>
  </si>
  <si>
    <t>0520000</t>
  </si>
  <si>
    <t>Иные межбюджетные трансферты  городскому поселению Краснозаводск при передачи бюджетного учреждения социального обслуживания молодежи "Подростково-молодежный клуб "Красная гвоздика"</t>
  </si>
  <si>
    <t>9908999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</si>
  <si>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</si>
  <si>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0530000</t>
  </si>
  <si>
    <t>0550400</t>
  </si>
  <si>
    <t>0915020</t>
  </si>
  <si>
    <t xml:space="preserve">Субсидия на реализацию подпрограммы "Обеспечение жильем молодых семей" федеральной целевой программы "Жилище" на 2011-2015 годы за счет средств, перечисленных из федерального бюджета </t>
  </si>
  <si>
    <t>0916020</t>
  </si>
  <si>
    <t>Субсидия на реализацию подпрограммы "Обеспечение жильем молодых семей" государственной программы Московской области "Жилище"  за счет средств бюджета Московской области</t>
  </si>
  <si>
    <t>1210000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</si>
  <si>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</si>
  <si>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</si>
  <si>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>0310000</t>
  </si>
  <si>
    <t>Подпрограмма "Дошкольное образование"</t>
  </si>
  <si>
    <t>Обеспечение деятельности телерадиокомпаний и телеорганизаций</t>
  </si>
  <si>
    <t>Обеспечение деятельности издательств</t>
  </si>
  <si>
    <t>0316211</t>
  </si>
  <si>
    <t>0300000</t>
  </si>
  <si>
    <t>0320000</t>
  </si>
  <si>
    <t>0326220</t>
  </si>
  <si>
    <t>0326221</t>
  </si>
  <si>
    <t>0326223</t>
  </si>
  <si>
    <t>0326222</t>
  </si>
  <si>
    <t>0326224</t>
  </si>
  <si>
    <t>0326225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</si>
  <si>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</si>
  <si>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Подпрограмма I "Развитие библиотечного дела"</t>
  </si>
  <si>
    <t>Подпрограмма V "Обеспечивающая подпрограмма"</t>
  </si>
  <si>
    <t>Мероприятия в сфере физической культуры и спорта</t>
  </si>
  <si>
    <t>Мероприятия в сфере культуры и кинематографии, в том числе комплектование книжных фондов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</si>
  <si>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</si>
  <si>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</si>
  <si>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</si>
  <si>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120</t>
  </si>
  <si>
    <t>Расходы на выплаты персоналу муниципальных органов</t>
  </si>
  <si>
    <t>200</t>
  </si>
  <si>
    <t>Закупка товаров, работ и услуг для муниципальных нужд</t>
  </si>
  <si>
    <t>240</t>
  </si>
  <si>
    <t>Иные закупки товаров, работ и услуг для обеспечения муниципальных нужд</t>
  </si>
  <si>
    <t>800</t>
  </si>
  <si>
    <t>Иные бюджетные ассигнования</t>
  </si>
  <si>
    <t>100</t>
  </si>
  <si>
    <t>1200000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</si>
  <si>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</si>
  <si>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</si>
  <si>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0548852</t>
  </si>
  <si>
    <t>Софинансирование мероприятий по капитальному  ремонту оснований многофункциональных хоккейных площадок</t>
  </si>
  <si>
    <t>9909990</t>
  </si>
  <si>
    <t>Участие в формировании уставного фонда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</si>
  <si>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</si>
  <si>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</si>
  <si>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</si>
  <si>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</si>
  <si>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1259060</t>
  </si>
  <si>
    <t>Расходы на содержание МКУ "Центр муниципальных закупок Сергиево-Посадского муниципального района"</t>
  </si>
  <si>
    <t>Расходы на содержание МУ "Хозяйственно-эксплуатационный центр Сергиево-Посадского муниципального района"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</si>
  <si>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</si>
  <si>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Расходы на выплаты персоналу казенных учреждений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</si>
  <si>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</si>
  <si>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</si>
  <si>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</si>
  <si>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</si>
  <si>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</si>
  <si>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</si>
  <si>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казенных учреждений</t>
  </si>
  <si>
    <t>620</t>
  </si>
  <si>
    <t xml:space="preserve">Субсидии автономным учреждениям </t>
  </si>
  <si>
    <t>830</t>
  </si>
  <si>
    <t>Исполнение судебных актов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</si>
  <si>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</si>
  <si>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</si>
  <si>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</si>
  <si>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</si>
  <si>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Организация и проведение мероприятий для детей и молодежи</t>
  </si>
  <si>
    <t>300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</si>
  <si>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</si>
  <si>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 xml:space="preserve">Социальное обеспечение и иные выплаты населению </t>
  </si>
  <si>
    <t>400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</si>
  <si>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</si>
  <si>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</si>
  <si>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Укрепление материально-технической базы учреждений</t>
  </si>
  <si>
    <t>Непрограммные расходы бюджета</t>
  </si>
  <si>
    <t>310</t>
  </si>
  <si>
    <t>Публичные нормативные социальные выплаты гражданам</t>
  </si>
  <si>
    <t>410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</si>
  <si>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</si>
  <si>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</si>
  <si>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</si>
  <si>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</si>
  <si>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</si>
  <si>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</si>
  <si>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</si>
  <si>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</si>
  <si>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</si>
  <si>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0330000</t>
  </si>
  <si>
    <t>0340000</t>
  </si>
  <si>
    <t>700</t>
  </si>
  <si>
    <t>0340497</t>
  </si>
  <si>
    <t>0340498</t>
  </si>
  <si>
    <t>0340499</t>
  </si>
  <si>
    <t>9900500</t>
  </si>
  <si>
    <t>9909959</t>
  </si>
  <si>
    <t>1508888</t>
  </si>
  <si>
    <t>0708888</t>
  </si>
  <si>
    <t>0608888</t>
  </si>
  <si>
    <t>2008888</t>
  </si>
  <si>
    <t>1808888</t>
  </si>
  <si>
    <t>9909999</t>
  </si>
  <si>
    <t>0317777</t>
  </si>
  <si>
    <t>0327759</t>
  </si>
  <si>
    <t>0327777</t>
  </si>
  <si>
    <t>0237777</t>
  </si>
  <si>
    <t>0347777</t>
  </si>
  <si>
    <t>0217777</t>
  </si>
  <si>
    <t>0217771</t>
  </si>
  <si>
    <t>0227777</t>
  </si>
  <si>
    <t>0227771</t>
  </si>
  <si>
    <t>0248881</t>
  </si>
  <si>
    <t>0517777</t>
  </si>
  <si>
    <t>0527771</t>
  </si>
  <si>
    <t>0318882</t>
  </si>
  <si>
    <t>0328881</t>
  </si>
  <si>
    <t>0328882</t>
  </si>
  <si>
    <t>1106210</t>
  </si>
  <si>
    <t>0328883</t>
  </si>
  <si>
    <t>0348881</t>
  </si>
  <si>
    <t>0548886</t>
  </si>
  <si>
    <t>500</t>
  </si>
  <si>
    <t xml:space="preserve">Межбюджетные трансферты </t>
  </si>
  <si>
    <t>0818881</t>
  </si>
  <si>
    <t>0828881</t>
  </si>
  <si>
    <t>0838881</t>
  </si>
  <si>
    <t>0250497</t>
  </si>
  <si>
    <t>0250000</t>
  </si>
  <si>
    <t>0250498</t>
  </si>
  <si>
    <t>0250499</t>
  </si>
  <si>
    <t>9900103</t>
  </si>
  <si>
    <t>1101759</t>
  </si>
  <si>
    <t>0318884</t>
  </si>
  <si>
    <t>0328885</t>
  </si>
  <si>
    <t>0318885</t>
  </si>
  <si>
    <t>0327774</t>
  </si>
  <si>
    <t>0327773</t>
  </si>
  <si>
    <t>0527777</t>
  </si>
  <si>
    <t>Софинансирование муниципальных учреждений -победителей конкурсов</t>
  </si>
  <si>
    <t>0327775</t>
  </si>
  <si>
    <t>0337777</t>
  </si>
  <si>
    <t>0347759</t>
  </si>
  <si>
    <t xml:space="preserve"> по разделам, подразделам, целевым статьям (муниципальным программам и непрограммным направлениям деятельности), группам и подгруппам  видов  расходов классификации расходов бюджетов</t>
  </si>
  <si>
    <t>0257759</t>
  </si>
  <si>
    <t>Расходы на обеспечение деятельности (оказание услуг) муниципальных учреждений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</si>
</sst>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3" xfId="0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0" fillId="0" borderId="12" xfId="0" applyNumberFormat="1" applyBorder="1" applyAlignment="1">
      <alignment wrapText="1"/>
    </xf>
    <xf numFmtId="174" fontId="0" fillId="0" borderId="12" xfId="0" applyNumberFormat="1" applyFont="1" applyBorder="1" applyAlignment="1">
      <alignment wrapText="1"/>
    </xf>
    <xf numFmtId="0" fontId="0" fillId="33" borderId="0" xfId="0" applyFill="1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ill="1" applyBorder="1" applyAlignment="1">
      <alignment wrapText="1"/>
    </xf>
    <xf numFmtId="0" fontId="0" fillId="0" borderId="0" xfId="0" applyFill="1" applyAlignment="1">
      <alignment/>
    </xf>
    <xf numFmtId="174" fontId="0" fillId="0" borderId="10" xfId="0" applyNumberFormat="1" applyFill="1" applyBorder="1" applyAlignment="1">
      <alignment wrapText="1"/>
    </xf>
    <xf numFmtId="0" fontId="0" fillId="0" borderId="13" xfId="0" applyFill="1" applyBorder="1" applyAlignment="1">
      <alignment horizontal="left" wrapText="1"/>
    </xf>
    <xf numFmtId="4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3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wrapText="1"/>
    </xf>
    <xf numFmtId="174" fontId="9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vertical="center" wrapText="1"/>
    </xf>
    <xf numFmtId="174" fontId="9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74" fontId="9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174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49" fontId="9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174" fontId="9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174" fontId="0" fillId="0" borderId="12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wrapText="1"/>
    </xf>
    <xf numFmtId="49" fontId="0" fillId="0" borderId="13" xfId="0" applyNumberFormat="1" applyFont="1" applyFill="1" applyBorder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/>
    </xf>
    <xf numFmtId="174" fontId="0" fillId="0" borderId="0" xfId="0" applyNumberFormat="1" applyAlignment="1">
      <alignment/>
    </xf>
    <xf numFmtId="49" fontId="0" fillId="0" borderId="1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49" fontId="11" fillId="0" borderId="13" xfId="0" applyNumberFormat="1" applyFont="1" applyBorder="1" applyAlignment="1">
      <alignment wrapText="1"/>
    </xf>
    <xf numFmtId="174" fontId="0" fillId="0" borderId="0" xfId="0" applyNumberFormat="1" applyFill="1" applyAlignment="1">
      <alignment/>
    </xf>
    <xf numFmtId="0" fontId="0" fillId="34" borderId="0" xfId="0" applyFill="1" applyAlignment="1">
      <alignment/>
    </xf>
    <xf numFmtId="49" fontId="6" fillId="0" borderId="0" xfId="0" applyNumberFormat="1" applyFont="1" applyAlignment="1">
      <alignment horizontal="center" wrapText="1"/>
    </xf>
    <xf numFmtId="175" fontId="0" fillId="0" borderId="13" xfId="0" applyNumberFormat="1" applyBorder="1" applyAlignment="1">
      <alignment wrapText="1"/>
    </xf>
    <xf numFmtId="49" fontId="9" fillId="0" borderId="13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wrapText="1"/>
    </xf>
    <xf numFmtId="175" fontId="0" fillId="0" borderId="13" xfId="0" applyNumberFormat="1" applyFont="1" applyBorder="1" applyAlignment="1">
      <alignment wrapText="1"/>
    </xf>
    <xf numFmtId="0" fontId="0" fillId="0" borderId="13" xfId="0" applyNumberForma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0" fontId="0" fillId="0" borderId="0" xfId="0" applyBorder="1" applyAlignment="1">
      <alignment/>
    </xf>
    <xf numFmtId="49" fontId="12" fillId="0" borderId="13" xfId="0" applyNumberFormat="1" applyFont="1" applyFill="1" applyBorder="1" applyAlignment="1">
      <alignment wrapText="1"/>
    </xf>
    <xf numFmtId="49" fontId="0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NumberFormat="1" applyFont="1" applyFill="1" applyBorder="1" applyAlignment="1">
      <alignment wrapText="1"/>
    </xf>
    <xf numFmtId="174" fontId="0" fillId="0" borderId="10" xfId="0" applyNumberFormat="1" applyFill="1" applyBorder="1" applyAlignment="1">
      <alignment/>
    </xf>
    <xf numFmtId="0" fontId="0" fillId="0" borderId="13" xfId="0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3" xfId="0" applyNumberFormat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75" fontId="0" fillId="0" borderId="10" xfId="0" applyNumberFormat="1" applyBorder="1" applyAlignment="1">
      <alignment wrapText="1"/>
    </xf>
    <xf numFmtId="174" fontId="14" fillId="0" borderId="10" xfId="0" applyNumberFormat="1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49" fontId="0" fillId="0" borderId="11" xfId="0" applyNumberFormat="1" applyBorder="1" applyAlignment="1">
      <alignment horizontal="center"/>
    </xf>
    <xf numFmtId="172" fontId="3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5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948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00390625" defaultRowHeight="12.75"/>
  <cols>
    <col min="1" max="1" width="51.375" style="0" customWidth="1"/>
    <col min="2" max="2" width="11.25390625" style="0" customWidth="1"/>
    <col min="5" max="5" width="17.25390625" style="0" customWidth="1"/>
    <col min="6" max="6" width="14.25390625" style="0" customWidth="1"/>
    <col min="8" max="8" width="11.375" style="0" customWidth="1"/>
    <col min="10" max="10" width="10.75390625" style="0" bestFit="1" customWidth="1"/>
  </cols>
  <sheetData>
    <row r="1" spans="5:6" ht="15.75">
      <c r="E1" s="115" t="s">
        <v>414</v>
      </c>
      <c r="F1" s="44"/>
    </row>
    <row r="2" spans="5:6" ht="15.75">
      <c r="E2" s="43" t="s">
        <v>406</v>
      </c>
      <c r="F2" s="44"/>
    </row>
    <row r="3" spans="5:6" ht="15.75">
      <c r="E3" s="43" t="s">
        <v>407</v>
      </c>
      <c r="F3" s="44"/>
    </row>
    <row r="4" spans="5:6" ht="15.75">
      <c r="E4" s="43" t="s">
        <v>408</v>
      </c>
      <c r="F4" s="44"/>
    </row>
    <row r="5" spans="5:6" ht="15.75">
      <c r="E5" s="43" t="s">
        <v>277</v>
      </c>
      <c r="F5" s="44"/>
    </row>
    <row r="6" spans="5:6" ht="15">
      <c r="E6" s="145" t="s">
        <v>68</v>
      </c>
      <c r="F6" s="44"/>
    </row>
    <row r="9" spans="5:6" ht="15.75">
      <c r="E9" s="115" t="s">
        <v>128</v>
      </c>
      <c r="F9" s="44"/>
    </row>
    <row r="10" spans="5:6" ht="15.75">
      <c r="E10" s="43" t="s">
        <v>406</v>
      </c>
      <c r="F10" s="44"/>
    </row>
    <row r="11" spans="5:6" ht="15.75">
      <c r="E11" s="43" t="s">
        <v>407</v>
      </c>
      <c r="F11" s="44"/>
    </row>
    <row r="12" spans="5:6" ht="15.75">
      <c r="E12" s="43" t="s">
        <v>408</v>
      </c>
      <c r="F12" s="44"/>
    </row>
    <row r="13" spans="5:6" ht="15.75">
      <c r="E13" s="43" t="s">
        <v>277</v>
      </c>
      <c r="F13" s="44"/>
    </row>
    <row r="14" spans="5:6" ht="15.75">
      <c r="E14" s="43" t="s">
        <v>180</v>
      </c>
      <c r="F14" s="44"/>
    </row>
    <row r="15" spans="5:6" ht="15.75">
      <c r="E15" s="43"/>
      <c r="F15" s="44"/>
    </row>
    <row r="16" spans="5:6" ht="15.75">
      <c r="E16" s="43"/>
      <c r="F16" s="44"/>
    </row>
    <row r="17" spans="5:6" ht="15.75">
      <c r="E17" s="43"/>
      <c r="F17" s="44"/>
    </row>
    <row r="18" spans="1:6" ht="19.5" customHeight="1">
      <c r="A18" s="146" t="s">
        <v>11</v>
      </c>
      <c r="B18" s="146"/>
      <c r="C18" s="146"/>
      <c r="D18" s="146"/>
      <c r="E18" s="146"/>
      <c r="F18" s="146"/>
    </row>
    <row r="19" spans="1:6" ht="33.75" customHeight="1">
      <c r="A19" s="146" t="s">
        <v>621</v>
      </c>
      <c r="B19" s="146"/>
      <c r="C19" s="146"/>
      <c r="D19" s="146"/>
      <c r="E19" s="146"/>
      <c r="F19" s="146"/>
    </row>
    <row r="20" spans="1:6" ht="22.5" customHeight="1">
      <c r="A20" s="98"/>
      <c r="B20" s="98"/>
      <c r="C20" s="98"/>
      <c r="D20" s="98"/>
      <c r="E20" s="98"/>
      <c r="F20" s="98"/>
    </row>
    <row r="21" ht="12.75">
      <c r="F21" s="46" t="s">
        <v>286</v>
      </c>
    </row>
    <row r="22" spans="1:6" s="22" customFormat="1" ht="38.25" customHeight="1">
      <c r="A22" s="147" t="s">
        <v>329</v>
      </c>
      <c r="B22" s="149" t="s">
        <v>330</v>
      </c>
      <c r="C22" s="150"/>
      <c r="D22" s="151"/>
      <c r="E22" s="147" t="s">
        <v>331</v>
      </c>
      <c r="F22" s="147" t="s">
        <v>127</v>
      </c>
    </row>
    <row r="23" spans="1:7" s="22" customFormat="1" ht="30" customHeight="1">
      <c r="A23" s="148"/>
      <c r="B23" s="23" t="s">
        <v>332</v>
      </c>
      <c r="C23" s="23" t="s">
        <v>333</v>
      </c>
      <c r="D23" s="23" t="s">
        <v>334</v>
      </c>
      <c r="E23" s="148"/>
      <c r="F23" s="148"/>
      <c r="G23" s="83"/>
    </row>
    <row r="24" spans="1:8" s="67" customFormat="1" ht="16.5" customHeight="1">
      <c r="A24" s="69" t="s">
        <v>388</v>
      </c>
      <c r="B24" s="50" t="s">
        <v>336</v>
      </c>
      <c r="C24" s="50" t="s">
        <v>358</v>
      </c>
      <c r="D24" s="50" t="s">
        <v>335</v>
      </c>
      <c r="E24" s="70">
        <f>E25+E47+E155+E32+E104+E159+E150</f>
        <v>478751.10000000003</v>
      </c>
      <c r="F24" s="70">
        <f>F25+F47+F155+F32+F104+F159</f>
        <v>93499</v>
      </c>
      <c r="H24" s="90"/>
    </row>
    <row r="25" spans="1:6" s="22" customFormat="1" ht="39.75" customHeight="1">
      <c r="A25" s="17" t="s">
        <v>304</v>
      </c>
      <c r="B25" s="47" t="s">
        <v>396</v>
      </c>
      <c r="C25" s="48" t="s">
        <v>358</v>
      </c>
      <c r="D25" s="48" t="s">
        <v>335</v>
      </c>
      <c r="E25" s="24">
        <f aca="true" t="shared" si="0" ref="E25:E30">E26</f>
        <v>2662.8999999999996</v>
      </c>
      <c r="F25" s="24"/>
    </row>
    <row r="26" spans="1:6" s="22" customFormat="1" ht="30.75" customHeight="1">
      <c r="A26" s="82" t="s">
        <v>53</v>
      </c>
      <c r="B26" s="47" t="s">
        <v>396</v>
      </c>
      <c r="C26" s="6" t="s">
        <v>515</v>
      </c>
      <c r="D26" s="2" t="s">
        <v>335</v>
      </c>
      <c r="E26" s="24">
        <f t="shared" si="0"/>
        <v>2662.8999999999996</v>
      </c>
      <c r="F26" s="70"/>
    </row>
    <row r="27" spans="1:6" s="22" customFormat="1" ht="21.75" customHeight="1">
      <c r="A27" s="8" t="s">
        <v>148</v>
      </c>
      <c r="B27" s="47" t="s">
        <v>396</v>
      </c>
      <c r="C27" s="2" t="s">
        <v>434</v>
      </c>
      <c r="D27" s="2" t="s">
        <v>335</v>
      </c>
      <c r="E27" s="24">
        <f t="shared" si="0"/>
        <v>2662.8999999999996</v>
      </c>
      <c r="F27" s="70"/>
    </row>
    <row r="28" spans="1:6" s="22" customFormat="1" ht="42" customHeight="1">
      <c r="A28" s="20" t="s">
        <v>505</v>
      </c>
      <c r="B28" s="1" t="s">
        <v>396</v>
      </c>
      <c r="C28" s="2" t="s">
        <v>147</v>
      </c>
      <c r="D28" s="2" t="s">
        <v>335</v>
      </c>
      <c r="E28" s="24">
        <f t="shared" si="0"/>
        <v>2662.8999999999996</v>
      </c>
      <c r="F28" s="24"/>
    </row>
    <row r="29" spans="1:6" s="22" customFormat="1" ht="18" customHeight="1">
      <c r="A29" s="21" t="s">
        <v>397</v>
      </c>
      <c r="B29" s="1" t="s">
        <v>396</v>
      </c>
      <c r="C29" s="2" t="s">
        <v>147</v>
      </c>
      <c r="D29" s="2" t="s">
        <v>335</v>
      </c>
      <c r="E29" s="24">
        <f t="shared" si="0"/>
        <v>2662.8999999999996</v>
      </c>
      <c r="F29" s="24"/>
    </row>
    <row r="30" spans="1:6" s="22" customFormat="1" ht="65.25" customHeight="1">
      <c r="A30" s="21" t="s">
        <v>522</v>
      </c>
      <c r="B30" s="1" t="s">
        <v>396</v>
      </c>
      <c r="C30" s="2" t="s">
        <v>147</v>
      </c>
      <c r="D30" s="2" t="s">
        <v>514</v>
      </c>
      <c r="E30" s="24">
        <f t="shared" si="0"/>
        <v>2662.8999999999996</v>
      </c>
      <c r="F30" s="24"/>
    </row>
    <row r="31" spans="1:6" s="22" customFormat="1" ht="18" customHeight="1">
      <c r="A31" s="21" t="s">
        <v>507</v>
      </c>
      <c r="B31" s="1" t="s">
        <v>396</v>
      </c>
      <c r="C31" s="2" t="s">
        <v>147</v>
      </c>
      <c r="D31" s="2" t="s">
        <v>506</v>
      </c>
      <c r="E31" s="24">
        <f>3478.7-492.3-323.5</f>
        <v>2662.8999999999996</v>
      </c>
      <c r="F31" s="24"/>
    </row>
    <row r="32" spans="1:6" s="22" customFormat="1" ht="54" customHeight="1">
      <c r="A32" s="17" t="s">
        <v>290</v>
      </c>
      <c r="B32" s="1" t="s">
        <v>357</v>
      </c>
      <c r="C32" s="2" t="s">
        <v>358</v>
      </c>
      <c r="D32" s="2" t="s">
        <v>335</v>
      </c>
      <c r="E32" s="24">
        <f>E33</f>
        <v>16768.5</v>
      </c>
      <c r="F32" s="24"/>
    </row>
    <row r="33" spans="1:6" s="22" customFormat="1" ht="42" customHeight="1">
      <c r="A33" s="20" t="s">
        <v>505</v>
      </c>
      <c r="B33" s="1" t="s">
        <v>357</v>
      </c>
      <c r="C33" s="1" t="s">
        <v>423</v>
      </c>
      <c r="D33" s="1" t="s">
        <v>335</v>
      </c>
      <c r="E33" s="25">
        <f>E37+E34</f>
        <v>16768.5</v>
      </c>
      <c r="F33" s="25"/>
    </row>
    <row r="34" spans="1:6" s="22" customFormat="1" ht="29.25" customHeight="1">
      <c r="A34" s="8" t="s">
        <v>287</v>
      </c>
      <c r="B34" s="6" t="s">
        <v>357</v>
      </c>
      <c r="C34" s="6" t="s">
        <v>424</v>
      </c>
      <c r="D34" s="6" t="s">
        <v>335</v>
      </c>
      <c r="E34" s="26">
        <f>E35</f>
        <v>2386.5</v>
      </c>
      <c r="F34" s="26"/>
    </row>
    <row r="35" spans="1:6" s="22" customFormat="1" ht="63.75">
      <c r="A35" s="21" t="s">
        <v>522</v>
      </c>
      <c r="B35" s="6" t="s">
        <v>357</v>
      </c>
      <c r="C35" s="6" t="s">
        <v>424</v>
      </c>
      <c r="D35" s="6" t="s">
        <v>514</v>
      </c>
      <c r="E35" s="26">
        <f>E36</f>
        <v>2386.5</v>
      </c>
      <c r="F35" s="26"/>
    </row>
    <row r="36" spans="1:6" s="22" customFormat="1" ht="19.5" customHeight="1">
      <c r="A36" s="21" t="s">
        <v>507</v>
      </c>
      <c r="B36" s="6" t="s">
        <v>357</v>
      </c>
      <c r="C36" s="6" t="s">
        <v>424</v>
      </c>
      <c r="D36" s="6" t="s">
        <v>506</v>
      </c>
      <c r="E36" s="26">
        <f>3041.6-298.7-40.1+180-496.3</f>
        <v>2386.5</v>
      </c>
      <c r="F36" s="26"/>
    </row>
    <row r="37" spans="1:6" s="22" customFormat="1" ht="21" customHeight="1">
      <c r="A37" s="10" t="s">
        <v>366</v>
      </c>
      <c r="B37" s="2" t="s">
        <v>357</v>
      </c>
      <c r="C37" s="2" t="s">
        <v>425</v>
      </c>
      <c r="D37" s="2" t="s">
        <v>335</v>
      </c>
      <c r="E37" s="27">
        <f>E38+E41+E44</f>
        <v>14382.000000000002</v>
      </c>
      <c r="F37" s="27"/>
    </row>
    <row r="38" spans="1:6" s="22" customFormat="1" ht="19.5" customHeight="1">
      <c r="A38" s="34" t="s">
        <v>417</v>
      </c>
      <c r="B38" s="32" t="s">
        <v>357</v>
      </c>
      <c r="C38" s="32" t="s">
        <v>426</v>
      </c>
      <c r="D38" s="32" t="s">
        <v>335</v>
      </c>
      <c r="E38" s="27">
        <f>E39</f>
        <v>1213.5</v>
      </c>
      <c r="F38" s="27"/>
    </row>
    <row r="39" spans="1:6" s="22" customFormat="1" ht="65.25" customHeight="1">
      <c r="A39" s="21" t="s">
        <v>522</v>
      </c>
      <c r="B39" s="2" t="s">
        <v>357</v>
      </c>
      <c r="C39" s="32" t="s">
        <v>426</v>
      </c>
      <c r="D39" s="37" t="s">
        <v>514</v>
      </c>
      <c r="E39" s="27">
        <f>E40</f>
        <v>1213.5</v>
      </c>
      <c r="F39" s="27"/>
    </row>
    <row r="40" spans="1:6" s="22" customFormat="1" ht="20.25" customHeight="1">
      <c r="A40" s="21" t="s">
        <v>507</v>
      </c>
      <c r="B40" s="2" t="s">
        <v>357</v>
      </c>
      <c r="C40" s="32" t="s">
        <v>426</v>
      </c>
      <c r="D40" s="6" t="s">
        <v>506</v>
      </c>
      <c r="E40" s="27">
        <f>1583.1-490.1+10+113.8-3.3</f>
        <v>1213.5</v>
      </c>
      <c r="F40" s="27"/>
    </row>
    <row r="41" spans="1:6" s="22" customFormat="1" ht="20.25" customHeight="1">
      <c r="A41" s="34" t="s">
        <v>418</v>
      </c>
      <c r="B41" s="32" t="s">
        <v>357</v>
      </c>
      <c r="C41" s="32" t="s">
        <v>427</v>
      </c>
      <c r="D41" s="32" t="s">
        <v>335</v>
      </c>
      <c r="E41" s="27">
        <f>E42</f>
        <v>10871.500000000002</v>
      </c>
      <c r="F41" s="27"/>
    </row>
    <row r="42" spans="1:6" s="22" customFormat="1" ht="63.75" customHeight="1">
      <c r="A42" s="21" t="s">
        <v>522</v>
      </c>
      <c r="B42" s="32" t="s">
        <v>357</v>
      </c>
      <c r="C42" s="32" t="s">
        <v>427</v>
      </c>
      <c r="D42" s="37" t="s">
        <v>514</v>
      </c>
      <c r="E42" s="27">
        <f>E43</f>
        <v>10871.500000000002</v>
      </c>
      <c r="F42" s="27"/>
    </row>
    <row r="43" spans="1:6" s="22" customFormat="1" ht="20.25" customHeight="1">
      <c r="A43" s="21" t="s">
        <v>507</v>
      </c>
      <c r="B43" s="32" t="s">
        <v>357</v>
      </c>
      <c r="C43" s="32" t="s">
        <v>427</v>
      </c>
      <c r="D43" s="37" t="s">
        <v>506</v>
      </c>
      <c r="E43" s="27">
        <f>9967.6-649.3+40.1+520-10+1082.5-79.4</f>
        <v>10871.500000000002</v>
      </c>
      <c r="F43" s="27"/>
    </row>
    <row r="44" spans="1:6" s="22" customFormat="1" ht="27" customHeight="1">
      <c r="A44" s="34" t="s">
        <v>309</v>
      </c>
      <c r="B44" s="2" t="s">
        <v>357</v>
      </c>
      <c r="C44" s="32" t="s">
        <v>428</v>
      </c>
      <c r="D44" s="2" t="s">
        <v>335</v>
      </c>
      <c r="E44" s="27">
        <f>E45</f>
        <v>2297</v>
      </c>
      <c r="F44" s="27"/>
    </row>
    <row r="45" spans="1:6" s="22" customFormat="1" ht="18.75" customHeight="1">
      <c r="A45" s="34" t="s">
        <v>509</v>
      </c>
      <c r="B45" s="2" t="s">
        <v>357</v>
      </c>
      <c r="C45" s="32" t="s">
        <v>428</v>
      </c>
      <c r="D45" s="2" t="s">
        <v>508</v>
      </c>
      <c r="E45" s="27">
        <f>E46</f>
        <v>2297</v>
      </c>
      <c r="F45" s="27"/>
    </row>
    <row r="46" spans="1:6" s="22" customFormat="1" ht="28.5" customHeight="1">
      <c r="A46" s="34" t="s">
        <v>511</v>
      </c>
      <c r="B46" s="2" t="s">
        <v>357</v>
      </c>
      <c r="C46" s="32" t="s">
        <v>428</v>
      </c>
      <c r="D46" s="2" t="s">
        <v>510</v>
      </c>
      <c r="E46" s="27">
        <f>4250+5+30+50+10+40-700+10-700-698</f>
        <v>2297</v>
      </c>
      <c r="F46" s="27"/>
    </row>
    <row r="47" spans="1:8" s="22" customFormat="1" ht="54.75" customHeight="1">
      <c r="A47" s="11" t="s">
        <v>291</v>
      </c>
      <c r="B47" s="2" t="s">
        <v>359</v>
      </c>
      <c r="C47" s="2" t="s">
        <v>358</v>
      </c>
      <c r="D47" s="2" t="s">
        <v>335</v>
      </c>
      <c r="E47" s="24">
        <f>E48+E84</f>
        <v>218186.80000000008</v>
      </c>
      <c r="F47" s="24">
        <f>F48+F84</f>
        <v>14441</v>
      </c>
      <c r="H47" s="89"/>
    </row>
    <row r="48" spans="1:6" s="22" customFormat="1" ht="39.75" customHeight="1">
      <c r="A48" s="20" t="s">
        <v>505</v>
      </c>
      <c r="B48" s="2" t="s">
        <v>359</v>
      </c>
      <c r="C48" s="1" t="s">
        <v>515</v>
      </c>
      <c r="D48" s="2" t="s">
        <v>335</v>
      </c>
      <c r="E48" s="24">
        <f>E68+E49+E91</f>
        <v>210375.80000000008</v>
      </c>
      <c r="F48" s="24">
        <f>F68+F49+F91</f>
        <v>6630</v>
      </c>
    </row>
    <row r="49" spans="1:6" s="22" customFormat="1" ht="30" customHeight="1">
      <c r="A49" s="82" t="s">
        <v>53</v>
      </c>
      <c r="B49" s="2" t="s">
        <v>359</v>
      </c>
      <c r="C49" s="1" t="s">
        <v>515</v>
      </c>
      <c r="D49" s="2" t="s">
        <v>335</v>
      </c>
      <c r="E49" s="24">
        <f>E65+E62+E50</f>
        <v>13856.2</v>
      </c>
      <c r="F49" s="24">
        <f>F65+F62+F50</f>
        <v>6630</v>
      </c>
    </row>
    <row r="50" spans="1:6" s="22" customFormat="1" ht="45.75" customHeight="1">
      <c r="A50" s="33" t="s">
        <v>97</v>
      </c>
      <c r="B50" s="32" t="s">
        <v>359</v>
      </c>
      <c r="C50" s="106" t="s">
        <v>435</v>
      </c>
      <c r="D50" s="32" t="s">
        <v>335</v>
      </c>
      <c r="E50" s="79">
        <f>E51+E60+E56</f>
        <v>10441.2</v>
      </c>
      <c r="F50" s="79">
        <f>F51</f>
        <v>6630</v>
      </c>
    </row>
    <row r="51" spans="1:6" s="22" customFormat="1" ht="85.5" customHeight="1">
      <c r="A51" s="33" t="s">
        <v>30</v>
      </c>
      <c r="B51" s="32" t="s">
        <v>359</v>
      </c>
      <c r="C51" s="105" t="s">
        <v>96</v>
      </c>
      <c r="D51" s="32" t="s">
        <v>335</v>
      </c>
      <c r="E51" s="79">
        <f>E52+E54</f>
        <v>6630</v>
      </c>
      <c r="F51" s="79">
        <f>F52+F54</f>
        <v>6630</v>
      </c>
    </row>
    <row r="52" spans="1:6" s="22" customFormat="1" ht="71.25" customHeight="1">
      <c r="A52" s="80" t="s">
        <v>522</v>
      </c>
      <c r="B52" s="32" t="s">
        <v>359</v>
      </c>
      <c r="C52" s="106" t="s">
        <v>96</v>
      </c>
      <c r="D52" s="32" t="s">
        <v>514</v>
      </c>
      <c r="E52" s="79">
        <f>E53</f>
        <v>6249.5</v>
      </c>
      <c r="F52" s="79">
        <f>F53</f>
        <v>6249.5</v>
      </c>
    </row>
    <row r="53" spans="1:6" s="22" customFormat="1" ht="30" customHeight="1">
      <c r="A53" s="80" t="s">
        <v>507</v>
      </c>
      <c r="B53" s="32" t="s">
        <v>359</v>
      </c>
      <c r="C53" s="106" t="s">
        <v>96</v>
      </c>
      <c r="D53" s="32" t="s">
        <v>506</v>
      </c>
      <c r="E53" s="79">
        <f>6216.8-63+95.7</f>
        <v>6249.5</v>
      </c>
      <c r="F53" s="79">
        <f>E53</f>
        <v>6249.5</v>
      </c>
    </row>
    <row r="54" spans="1:6" s="22" customFormat="1" ht="18.75" customHeight="1">
      <c r="A54" s="34" t="s">
        <v>509</v>
      </c>
      <c r="B54" s="32" t="s">
        <v>359</v>
      </c>
      <c r="C54" s="106" t="s">
        <v>96</v>
      </c>
      <c r="D54" s="32" t="s">
        <v>508</v>
      </c>
      <c r="E54" s="79">
        <f>E55</f>
        <v>380.5</v>
      </c>
      <c r="F54" s="79">
        <f>F55</f>
        <v>380.5</v>
      </c>
    </row>
    <row r="55" spans="1:6" s="22" customFormat="1" ht="30" customHeight="1">
      <c r="A55" s="34" t="s">
        <v>511</v>
      </c>
      <c r="B55" s="32" t="s">
        <v>359</v>
      </c>
      <c r="C55" s="106" t="s">
        <v>96</v>
      </c>
      <c r="D55" s="32" t="s">
        <v>510</v>
      </c>
      <c r="E55" s="79">
        <f>476.2-95.7</f>
        <v>380.5</v>
      </c>
      <c r="F55" s="79">
        <f>E55</f>
        <v>380.5</v>
      </c>
    </row>
    <row r="56" spans="1:6" s="22" customFormat="1" ht="21.75" customHeight="1">
      <c r="A56" s="9" t="s">
        <v>366</v>
      </c>
      <c r="B56" s="2" t="s">
        <v>359</v>
      </c>
      <c r="C56" s="2" t="s">
        <v>99</v>
      </c>
      <c r="D56" s="2" t="s">
        <v>335</v>
      </c>
      <c r="E56" s="24">
        <f>E57</f>
        <v>2086.3</v>
      </c>
      <c r="F56" s="24">
        <f>F57</f>
        <v>0</v>
      </c>
    </row>
    <row r="57" spans="1:6" s="22" customFormat="1" ht="18" customHeight="1">
      <c r="A57" s="34" t="s">
        <v>417</v>
      </c>
      <c r="B57" s="2" t="s">
        <v>359</v>
      </c>
      <c r="C57" s="2" t="s">
        <v>100</v>
      </c>
      <c r="D57" s="2" t="s">
        <v>335</v>
      </c>
      <c r="E57" s="24">
        <f>E58</f>
        <v>2086.3</v>
      </c>
      <c r="F57" s="27"/>
    </row>
    <row r="58" spans="1:6" s="22" customFormat="1" ht="66.75" customHeight="1">
      <c r="A58" s="21" t="s">
        <v>522</v>
      </c>
      <c r="B58" s="2" t="s">
        <v>359</v>
      </c>
      <c r="C58" s="2" t="s">
        <v>100</v>
      </c>
      <c r="D58" s="2" t="s">
        <v>514</v>
      </c>
      <c r="E58" s="24">
        <f>E59</f>
        <v>2086.3</v>
      </c>
      <c r="F58" s="27"/>
    </row>
    <row r="59" spans="1:6" s="22" customFormat="1" ht="21" customHeight="1">
      <c r="A59" s="21" t="s">
        <v>507</v>
      </c>
      <c r="B59" s="2" t="s">
        <v>359</v>
      </c>
      <c r="C59" s="2" t="s">
        <v>100</v>
      </c>
      <c r="D59" s="2" t="s">
        <v>506</v>
      </c>
      <c r="E59" s="24">
        <v>2086.3</v>
      </c>
      <c r="F59" s="27"/>
    </row>
    <row r="60" spans="1:6" s="22" customFormat="1" ht="19.5" customHeight="1">
      <c r="A60" s="34" t="s">
        <v>509</v>
      </c>
      <c r="B60" s="32" t="s">
        <v>359</v>
      </c>
      <c r="C60" s="106" t="s">
        <v>98</v>
      </c>
      <c r="D60" s="32" t="s">
        <v>508</v>
      </c>
      <c r="E60" s="79">
        <f>E61</f>
        <v>1724.9</v>
      </c>
      <c r="F60" s="79"/>
    </row>
    <row r="61" spans="1:6" s="22" customFormat="1" ht="30" customHeight="1">
      <c r="A61" s="34" t="s">
        <v>511</v>
      </c>
      <c r="B61" s="32" t="s">
        <v>359</v>
      </c>
      <c r="C61" s="106" t="s">
        <v>98</v>
      </c>
      <c r="D61" s="32" t="s">
        <v>510</v>
      </c>
      <c r="E61" s="79">
        <f>1108+616.9</f>
        <v>1724.9</v>
      </c>
      <c r="F61" s="79"/>
    </row>
    <row r="62" spans="1:6" s="22" customFormat="1" ht="40.5" customHeight="1">
      <c r="A62" s="33" t="s">
        <v>94</v>
      </c>
      <c r="B62" s="2" t="s">
        <v>359</v>
      </c>
      <c r="C62" s="1" t="s">
        <v>436</v>
      </c>
      <c r="D62" s="2" t="s">
        <v>335</v>
      </c>
      <c r="E62" s="24">
        <f>E63</f>
        <v>415</v>
      </c>
      <c r="F62" s="24"/>
    </row>
    <row r="63" spans="1:6" s="22" customFormat="1" ht="19.5" customHeight="1">
      <c r="A63" s="34" t="s">
        <v>509</v>
      </c>
      <c r="B63" s="2" t="s">
        <v>359</v>
      </c>
      <c r="C63" s="1" t="s">
        <v>95</v>
      </c>
      <c r="D63" s="2" t="s">
        <v>508</v>
      </c>
      <c r="E63" s="24">
        <f>E64</f>
        <v>415</v>
      </c>
      <c r="F63" s="24"/>
    </row>
    <row r="64" spans="1:6" s="22" customFormat="1" ht="26.25" customHeight="1">
      <c r="A64" s="34" t="s">
        <v>511</v>
      </c>
      <c r="B64" s="2" t="s">
        <v>359</v>
      </c>
      <c r="C64" s="1" t="s">
        <v>95</v>
      </c>
      <c r="D64" s="2" t="s">
        <v>510</v>
      </c>
      <c r="E64" s="24">
        <f>385-25+55</f>
        <v>415</v>
      </c>
      <c r="F64" s="24"/>
    </row>
    <row r="65" spans="1:6" s="22" customFormat="1" ht="42.75" customHeight="1">
      <c r="A65" s="33" t="s">
        <v>130</v>
      </c>
      <c r="B65" s="2" t="s">
        <v>359</v>
      </c>
      <c r="C65" s="1" t="s">
        <v>437</v>
      </c>
      <c r="D65" s="2" t="s">
        <v>335</v>
      </c>
      <c r="E65" s="24">
        <f>E66</f>
        <v>3000</v>
      </c>
      <c r="F65" s="24"/>
    </row>
    <row r="66" spans="1:6" s="22" customFormat="1" ht="19.5" customHeight="1">
      <c r="A66" s="34" t="s">
        <v>509</v>
      </c>
      <c r="B66" s="2" t="s">
        <v>359</v>
      </c>
      <c r="C66" s="1" t="s">
        <v>87</v>
      </c>
      <c r="D66" s="2" t="s">
        <v>508</v>
      </c>
      <c r="E66" s="24">
        <f>E67</f>
        <v>3000</v>
      </c>
      <c r="F66" s="24"/>
    </row>
    <row r="67" spans="1:6" s="22" customFormat="1" ht="28.5" customHeight="1">
      <c r="A67" s="34" t="s">
        <v>511</v>
      </c>
      <c r="B67" s="2" t="s">
        <v>359</v>
      </c>
      <c r="C67" s="1" t="s">
        <v>87</v>
      </c>
      <c r="D67" s="2" t="s">
        <v>510</v>
      </c>
      <c r="E67" s="24">
        <f>7572-2572-2000</f>
        <v>3000</v>
      </c>
      <c r="F67" s="24"/>
    </row>
    <row r="68" spans="1:6" s="22" customFormat="1" ht="30" customHeight="1">
      <c r="A68" s="82" t="s">
        <v>53</v>
      </c>
      <c r="B68" s="2" t="s">
        <v>359</v>
      </c>
      <c r="C68" s="6" t="s">
        <v>515</v>
      </c>
      <c r="D68" s="2" t="s">
        <v>335</v>
      </c>
      <c r="E68" s="24">
        <f>E69</f>
        <v>183443.00000000006</v>
      </c>
      <c r="F68" s="70"/>
    </row>
    <row r="69" spans="1:6" s="22" customFormat="1" ht="21" customHeight="1">
      <c r="A69" s="8" t="s">
        <v>148</v>
      </c>
      <c r="B69" s="2" t="s">
        <v>359</v>
      </c>
      <c r="C69" s="6" t="s">
        <v>434</v>
      </c>
      <c r="D69" s="2" t="s">
        <v>335</v>
      </c>
      <c r="E69" s="24">
        <f>E70</f>
        <v>183443.00000000006</v>
      </c>
      <c r="F69" s="70"/>
    </row>
    <row r="70" spans="1:6" s="22" customFormat="1" ht="18.75" customHeight="1">
      <c r="A70" s="9" t="s">
        <v>366</v>
      </c>
      <c r="B70" s="2" t="s">
        <v>359</v>
      </c>
      <c r="C70" s="2" t="s">
        <v>149</v>
      </c>
      <c r="D70" s="2" t="s">
        <v>335</v>
      </c>
      <c r="E70" s="24">
        <f>E71+E74+E79</f>
        <v>183443.00000000006</v>
      </c>
      <c r="F70" s="24">
        <f>F71+F74+F79</f>
        <v>0</v>
      </c>
    </row>
    <row r="71" spans="1:6" s="22" customFormat="1" ht="19.5" customHeight="1">
      <c r="A71" s="34" t="s">
        <v>417</v>
      </c>
      <c r="B71" s="2" t="s">
        <v>359</v>
      </c>
      <c r="C71" s="2" t="s">
        <v>150</v>
      </c>
      <c r="D71" s="2" t="s">
        <v>335</v>
      </c>
      <c r="E71" s="24">
        <f>E72</f>
        <v>22924.7</v>
      </c>
      <c r="F71" s="27"/>
    </row>
    <row r="72" spans="1:6" s="22" customFormat="1" ht="65.25" customHeight="1">
      <c r="A72" s="21" t="s">
        <v>522</v>
      </c>
      <c r="B72" s="2" t="s">
        <v>359</v>
      </c>
      <c r="C72" s="2" t="s">
        <v>150</v>
      </c>
      <c r="D72" s="2" t="s">
        <v>514</v>
      </c>
      <c r="E72" s="24">
        <f>E73</f>
        <v>22924.7</v>
      </c>
      <c r="F72" s="27"/>
    </row>
    <row r="73" spans="1:6" s="22" customFormat="1" ht="24" customHeight="1">
      <c r="A73" s="21" t="s">
        <v>507</v>
      </c>
      <c r="B73" s="2" t="s">
        <v>359</v>
      </c>
      <c r="C73" s="2" t="s">
        <v>150</v>
      </c>
      <c r="D73" s="2" t="s">
        <v>506</v>
      </c>
      <c r="E73" s="24">
        <f>21659.7+490.1+103.1-1117.6+5-885.8-700+83.5+1117.6+1604.6-778.1+1687.8+41.9-387.1</f>
        <v>22924.7</v>
      </c>
      <c r="F73" s="27"/>
    </row>
    <row r="74" spans="1:6" s="22" customFormat="1" ht="21" customHeight="1">
      <c r="A74" s="34" t="s">
        <v>418</v>
      </c>
      <c r="B74" s="2" t="s">
        <v>359</v>
      </c>
      <c r="C74" s="2" t="s">
        <v>151</v>
      </c>
      <c r="D74" s="2" t="s">
        <v>335</v>
      </c>
      <c r="E74" s="24">
        <f>E75+E77</f>
        <v>128655.90000000007</v>
      </c>
      <c r="F74" s="27"/>
    </row>
    <row r="75" spans="1:6" s="22" customFormat="1" ht="66.75" customHeight="1">
      <c r="A75" s="21" t="s">
        <v>522</v>
      </c>
      <c r="B75" s="2" t="s">
        <v>359</v>
      </c>
      <c r="C75" s="2" t="s">
        <v>151</v>
      </c>
      <c r="D75" s="2" t="s">
        <v>514</v>
      </c>
      <c r="E75" s="24">
        <f>E76</f>
        <v>128405.60000000006</v>
      </c>
      <c r="F75" s="27"/>
    </row>
    <row r="76" spans="1:6" s="22" customFormat="1" ht="21" customHeight="1">
      <c r="A76" s="21" t="s">
        <v>507</v>
      </c>
      <c r="B76" s="2" t="s">
        <v>359</v>
      </c>
      <c r="C76" s="2" t="s">
        <v>151</v>
      </c>
      <c r="D76" s="2" t="s">
        <v>506</v>
      </c>
      <c r="E76" s="24">
        <f>146079.2+492.3+948+400-204.8-10.4+210.2-1000-52.2+36.8-300-25.4-10000-100-92-50.8+323.5-83.5-502.4-1180.3-40.1-1117.6+5773.7-2422.7-1000-175.9-200+356.2-1708.1-954.9-1687.8-2299-153-46.2-46.2-761</f>
        <v>128405.60000000006</v>
      </c>
      <c r="F76" s="27"/>
    </row>
    <row r="77" spans="1:6" s="22" customFormat="1" ht="21" customHeight="1">
      <c r="A77" s="8" t="s">
        <v>549</v>
      </c>
      <c r="B77" s="2" t="s">
        <v>359</v>
      </c>
      <c r="C77" s="2" t="s">
        <v>151</v>
      </c>
      <c r="D77" s="2" t="s">
        <v>547</v>
      </c>
      <c r="E77" s="24">
        <f>E78</f>
        <v>250.3</v>
      </c>
      <c r="F77" s="27"/>
    </row>
    <row r="78" spans="1:6" s="22" customFormat="1" ht="27.75" customHeight="1">
      <c r="A78" s="8" t="s">
        <v>282</v>
      </c>
      <c r="B78" s="2" t="s">
        <v>359</v>
      </c>
      <c r="C78" s="2" t="s">
        <v>151</v>
      </c>
      <c r="D78" s="2" t="s">
        <v>281</v>
      </c>
      <c r="E78" s="24">
        <f>204.8+5.4+40.1</f>
        <v>250.3</v>
      </c>
      <c r="F78" s="27"/>
    </row>
    <row r="79" spans="1:6" s="22" customFormat="1" ht="25.5">
      <c r="A79" s="34" t="s">
        <v>309</v>
      </c>
      <c r="B79" s="2" t="s">
        <v>359</v>
      </c>
      <c r="C79" s="2" t="s">
        <v>152</v>
      </c>
      <c r="D79" s="2" t="s">
        <v>335</v>
      </c>
      <c r="E79" s="24">
        <f>E80+E82</f>
        <v>31862.4</v>
      </c>
      <c r="F79" s="27"/>
    </row>
    <row r="80" spans="1:6" s="22" customFormat="1" ht="18.75" customHeight="1">
      <c r="A80" s="34" t="s">
        <v>509</v>
      </c>
      <c r="B80" s="2" t="s">
        <v>359</v>
      </c>
      <c r="C80" s="2" t="s">
        <v>152</v>
      </c>
      <c r="D80" s="2" t="s">
        <v>508</v>
      </c>
      <c r="E80" s="24">
        <f>E81</f>
        <v>31232.4</v>
      </c>
      <c r="F80" s="27"/>
    </row>
    <row r="81" spans="1:6" s="22" customFormat="1" ht="29.25" customHeight="1">
      <c r="A81" s="34" t="s">
        <v>511</v>
      </c>
      <c r="B81" s="2" t="s">
        <v>359</v>
      </c>
      <c r="C81" s="2" t="s">
        <v>152</v>
      </c>
      <c r="D81" s="2" t="s">
        <v>510</v>
      </c>
      <c r="E81" s="24">
        <f>33670.3-103.1-400-300-1200-4950-347+1626+527.6+100-100+430-36.8+25.4+162.1+100+92-616.9+50.8+700+800+1800-700-98</f>
        <v>31232.4</v>
      </c>
      <c r="F81" s="27"/>
    </row>
    <row r="82" spans="1:6" s="22" customFormat="1" ht="21.75" customHeight="1">
      <c r="A82" s="34" t="s">
        <v>513</v>
      </c>
      <c r="B82" s="2" t="s">
        <v>359</v>
      </c>
      <c r="C82" s="2" t="s">
        <v>152</v>
      </c>
      <c r="D82" s="2" t="s">
        <v>512</v>
      </c>
      <c r="E82" s="24">
        <f>E83</f>
        <v>630</v>
      </c>
      <c r="F82" s="27"/>
    </row>
    <row r="83" spans="1:6" s="22" customFormat="1" ht="21.75" customHeight="1">
      <c r="A83" s="34" t="s">
        <v>532</v>
      </c>
      <c r="B83" s="2" t="s">
        <v>359</v>
      </c>
      <c r="C83" s="2" t="s">
        <v>152</v>
      </c>
      <c r="D83" s="2" t="s">
        <v>531</v>
      </c>
      <c r="E83" s="24">
        <v>630</v>
      </c>
      <c r="F83" s="27"/>
    </row>
    <row r="84" spans="1:6" s="22" customFormat="1" ht="51.75" customHeight="1">
      <c r="A84" s="41" t="s">
        <v>58</v>
      </c>
      <c r="B84" s="2" t="s">
        <v>359</v>
      </c>
      <c r="C84" s="5" t="s">
        <v>490</v>
      </c>
      <c r="D84" s="1" t="s">
        <v>335</v>
      </c>
      <c r="E84" s="24">
        <f>E85</f>
        <v>7811</v>
      </c>
      <c r="F84" s="27">
        <f>F85</f>
        <v>7811</v>
      </c>
    </row>
    <row r="85" spans="1:6" s="22" customFormat="1" ht="17.25" customHeight="1">
      <c r="A85" s="35" t="s">
        <v>561</v>
      </c>
      <c r="B85" s="2" t="s">
        <v>359</v>
      </c>
      <c r="C85" s="5" t="s">
        <v>491</v>
      </c>
      <c r="D85" s="1" t="s">
        <v>335</v>
      </c>
      <c r="E85" s="24">
        <f>E86</f>
        <v>7811</v>
      </c>
      <c r="F85" s="27">
        <f>F86</f>
        <v>7811</v>
      </c>
    </row>
    <row r="86" spans="1:6" s="22" customFormat="1" ht="54" customHeight="1">
      <c r="A86" s="8" t="s">
        <v>22</v>
      </c>
      <c r="B86" s="2" t="s">
        <v>359</v>
      </c>
      <c r="C86" s="76" t="s">
        <v>429</v>
      </c>
      <c r="D86" s="2" t="s">
        <v>335</v>
      </c>
      <c r="E86" s="24">
        <f>E87+E89</f>
        <v>7811</v>
      </c>
      <c r="F86" s="24">
        <f>F87+F89</f>
        <v>7811</v>
      </c>
    </row>
    <row r="87" spans="1:6" s="22" customFormat="1" ht="66.75" customHeight="1">
      <c r="A87" s="21" t="s">
        <v>522</v>
      </c>
      <c r="B87" s="2" t="s">
        <v>359</v>
      </c>
      <c r="C87" s="2" t="s">
        <v>429</v>
      </c>
      <c r="D87" s="2" t="s">
        <v>514</v>
      </c>
      <c r="E87" s="24">
        <f>E88</f>
        <v>7719.8</v>
      </c>
      <c r="F87" s="24">
        <f>F88</f>
        <v>7719.8</v>
      </c>
    </row>
    <row r="88" spans="1:6" s="22" customFormat="1" ht="18.75" customHeight="1">
      <c r="A88" s="21" t="s">
        <v>507</v>
      </c>
      <c r="B88" s="2" t="s">
        <v>359</v>
      </c>
      <c r="C88" s="2" t="s">
        <v>429</v>
      </c>
      <c r="D88" s="2" t="s">
        <v>506</v>
      </c>
      <c r="E88" s="24">
        <f>7573-51+200.6-0.8-2</f>
        <v>7719.8</v>
      </c>
      <c r="F88" s="24">
        <f>E88</f>
        <v>7719.8</v>
      </c>
    </row>
    <row r="89" spans="1:6" s="22" customFormat="1" ht="18.75" customHeight="1">
      <c r="A89" s="34" t="s">
        <v>509</v>
      </c>
      <c r="B89" s="2" t="s">
        <v>359</v>
      </c>
      <c r="C89" s="2" t="s">
        <v>429</v>
      </c>
      <c r="D89" s="2" t="s">
        <v>508</v>
      </c>
      <c r="E89" s="24">
        <f>E90</f>
        <v>91.2</v>
      </c>
      <c r="F89" s="24">
        <f>F90</f>
        <v>91.2</v>
      </c>
    </row>
    <row r="90" spans="1:6" s="22" customFormat="1" ht="30" customHeight="1">
      <c r="A90" s="34" t="s">
        <v>511</v>
      </c>
      <c r="B90" s="2" t="s">
        <v>359</v>
      </c>
      <c r="C90" s="2" t="s">
        <v>429</v>
      </c>
      <c r="D90" s="2" t="s">
        <v>510</v>
      </c>
      <c r="E90" s="24">
        <f>289-200.6+0.8+2</f>
        <v>91.2</v>
      </c>
      <c r="F90" s="24">
        <f>E90</f>
        <v>91.2</v>
      </c>
    </row>
    <row r="91" spans="1:6" s="22" customFormat="1" ht="44.25" customHeight="1">
      <c r="A91" s="74" t="s">
        <v>85</v>
      </c>
      <c r="B91" s="32" t="s">
        <v>359</v>
      </c>
      <c r="C91" s="37" t="s">
        <v>89</v>
      </c>
      <c r="D91" s="37" t="s">
        <v>335</v>
      </c>
      <c r="E91" s="78">
        <f>E92</f>
        <v>13076.599999999999</v>
      </c>
      <c r="F91" s="78"/>
    </row>
    <row r="92" spans="1:6" s="22" customFormat="1" ht="24" customHeight="1">
      <c r="A92" s="9" t="s">
        <v>366</v>
      </c>
      <c r="B92" s="2" t="s">
        <v>359</v>
      </c>
      <c r="C92" s="2" t="s">
        <v>90</v>
      </c>
      <c r="D92" s="2" t="s">
        <v>335</v>
      </c>
      <c r="E92" s="24">
        <f>E93+E96+E99</f>
        <v>13076.599999999999</v>
      </c>
      <c r="F92" s="24">
        <f>F93+F105</f>
        <v>0</v>
      </c>
    </row>
    <row r="93" spans="1:6" s="22" customFormat="1" ht="21" customHeight="1">
      <c r="A93" s="34" t="s">
        <v>417</v>
      </c>
      <c r="B93" s="2" t="s">
        <v>359</v>
      </c>
      <c r="C93" s="2" t="s">
        <v>91</v>
      </c>
      <c r="D93" s="2" t="s">
        <v>335</v>
      </c>
      <c r="E93" s="24">
        <f>E94</f>
        <v>944.8000000000001</v>
      </c>
      <c r="F93" s="27"/>
    </row>
    <row r="94" spans="1:6" s="22" customFormat="1" ht="68.25" customHeight="1">
      <c r="A94" s="21" t="s">
        <v>522</v>
      </c>
      <c r="B94" s="2" t="s">
        <v>359</v>
      </c>
      <c r="C94" s="2" t="s">
        <v>91</v>
      </c>
      <c r="D94" s="2" t="s">
        <v>514</v>
      </c>
      <c r="E94" s="24">
        <f>E95</f>
        <v>944.8000000000001</v>
      </c>
      <c r="F94" s="27"/>
    </row>
    <row r="95" spans="1:6" s="22" customFormat="1" ht="25.5" customHeight="1">
      <c r="A95" s="21" t="s">
        <v>507</v>
      </c>
      <c r="B95" s="2" t="s">
        <v>359</v>
      </c>
      <c r="C95" s="2" t="s">
        <v>91</v>
      </c>
      <c r="D95" s="2" t="s">
        <v>506</v>
      </c>
      <c r="E95" s="24">
        <f>527.7-30+60+387.1</f>
        <v>944.8000000000001</v>
      </c>
      <c r="F95" s="27"/>
    </row>
    <row r="96" spans="1:6" s="22" customFormat="1" ht="21.75" customHeight="1">
      <c r="A96" s="34" t="s">
        <v>418</v>
      </c>
      <c r="B96" s="2" t="s">
        <v>359</v>
      </c>
      <c r="C96" s="2" t="s">
        <v>92</v>
      </c>
      <c r="D96" s="2" t="s">
        <v>335</v>
      </c>
      <c r="E96" s="24">
        <f>E97</f>
        <v>11336.8</v>
      </c>
      <c r="F96" s="27"/>
    </row>
    <row r="97" spans="1:6" s="22" customFormat="1" ht="69.75" customHeight="1">
      <c r="A97" s="21" t="s">
        <v>522</v>
      </c>
      <c r="B97" s="2" t="s">
        <v>359</v>
      </c>
      <c r="C97" s="2" t="s">
        <v>92</v>
      </c>
      <c r="D97" s="2" t="s">
        <v>514</v>
      </c>
      <c r="E97" s="24">
        <f>E98</f>
        <v>11336.8</v>
      </c>
      <c r="F97" s="27"/>
    </row>
    <row r="98" spans="1:6" s="22" customFormat="1" ht="21.75" customHeight="1">
      <c r="A98" s="21" t="s">
        <v>507</v>
      </c>
      <c r="B98" s="2" t="s">
        <v>359</v>
      </c>
      <c r="C98" s="2" t="s">
        <v>92</v>
      </c>
      <c r="D98" s="2" t="s">
        <v>506</v>
      </c>
      <c r="E98" s="24">
        <f>8767.8+300+30-60+2299</f>
        <v>11336.8</v>
      </c>
      <c r="F98" s="27"/>
    </row>
    <row r="99" spans="1:6" s="22" customFormat="1" ht="30" customHeight="1">
      <c r="A99" s="34" t="s">
        <v>309</v>
      </c>
      <c r="B99" s="2" t="s">
        <v>359</v>
      </c>
      <c r="C99" s="2" t="s">
        <v>93</v>
      </c>
      <c r="D99" s="2" t="s">
        <v>335</v>
      </c>
      <c r="E99" s="24">
        <f>E100+E102</f>
        <v>795</v>
      </c>
      <c r="F99" s="27"/>
    </row>
    <row r="100" spans="1:6" s="22" customFormat="1" ht="21.75" customHeight="1">
      <c r="A100" s="34" t="s">
        <v>509</v>
      </c>
      <c r="B100" s="2" t="s">
        <v>359</v>
      </c>
      <c r="C100" s="2" t="s">
        <v>93</v>
      </c>
      <c r="D100" s="2" t="s">
        <v>508</v>
      </c>
      <c r="E100" s="24">
        <f>E101</f>
        <v>745</v>
      </c>
      <c r="F100" s="27"/>
    </row>
    <row r="101" spans="1:6" s="22" customFormat="1" ht="30" customHeight="1">
      <c r="A101" s="34" t="s">
        <v>511</v>
      </c>
      <c r="B101" s="2" t="s">
        <v>359</v>
      </c>
      <c r="C101" s="2" t="s">
        <v>93</v>
      </c>
      <c r="D101" s="2" t="s">
        <v>510</v>
      </c>
      <c r="E101" s="24">
        <f>632+40-25+98</f>
        <v>745</v>
      </c>
      <c r="F101" s="27"/>
    </row>
    <row r="102" spans="1:6" s="22" customFormat="1" ht="24" customHeight="1">
      <c r="A102" s="34" t="s">
        <v>513</v>
      </c>
      <c r="B102" s="2" t="s">
        <v>359</v>
      </c>
      <c r="C102" s="2" t="s">
        <v>93</v>
      </c>
      <c r="D102" s="2" t="s">
        <v>512</v>
      </c>
      <c r="E102" s="24">
        <f>E103</f>
        <v>50</v>
      </c>
      <c r="F102" s="27"/>
    </row>
    <row r="103" spans="1:6" s="22" customFormat="1" ht="21.75" customHeight="1">
      <c r="A103" s="34" t="s">
        <v>532</v>
      </c>
      <c r="B103" s="2" t="s">
        <v>359</v>
      </c>
      <c r="C103" s="2" t="s">
        <v>93</v>
      </c>
      <c r="D103" s="2" t="s">
        <v>531</v>
      </c>
      <c r="E103" s="24">
        <f>25+25</f>
        <v>50</v>
      </c>
      <c r="F103" s="27"/>
    </row>
    <row r="104" spans="1:6" s="22" customFormat="1" ht="44.25" customHeight="1">
      <c r="A104" s="42" t="s">
        <v>301</v>
      </c>
      <c r="B104" s="2" t="s">
        <v>302</v>
      </c>
      <c r="C104" s="2" t="s">
        <v>358</v>
      </c>
      <c r="D104" s="2" t="s">
        <v>335</v>
      </c>
      <c r="E104" s="24">
        <f>E124+E105</f>
        <v>52904.600000000006</v>
      </c>
      <c r="F104" s="27">
        <f>F124</f>
        <v>0</v>
      </c>
    </row>
    <row r="105" spans="1:6" s="22" customFormat="1" ht="29.25" customHeight="1">
      <c r="A105" s="82" t="s">
        <v>53</v>
      </c>
      <c r="B105" s="2" t="s">
        <v>302</v>
      </c>
      <c r="C105" s="1" t="s">
        <v>515</v>
      </c>
      <c r="D105" s="2" t="s">
        <v>335</v>
      </c>
      <c r="E105" s="24">
        <f>E106+E109</f>
        <v>42370.600000000006</v>
      </c>
      <c r="F105" s="24">
        <f>F124</f>
        <v>0</v>
      </c>
    </row>
    <row r="106" spans="1:6" s="22" customFormat="1" ht="44.25" customHeight="1">
      <c r="A106" s="33" t="s">
        <v>94</v>
      </c>
      <c r="B106" s="2" t="s">
        <v>302</v>
      </c>
      <c r="C106" s="1" t="s">
        <v>436</v>
      </c>
      <c r="D106" s="2" t="s">
        <v>335</v>
      </c>
      <c r="E106" s="24">
        <f>E107</f>
        <v>315</v>
      </c>
      <c r="F106" s="24"/>
    </row>
    <row r="107" spans="1:6" s="22" customFormat="1" ht="24.75" customHeight="1">
      <c r="A107" s="34" t="s">
        <v>509</v>
      </c>
      <c r="B107" s="2" t="s">
        <v>302</v>
      </c>
      <c r="C107" s="1" t="s">
        <v>95</v>
      </c>
      <c r="D107" s="2" t="s">
        <v>508</v>
      </c>
      <c r="E107" s="24">
        <f>E108</f>
        <v>315</v>
      </c>
      <c r="F107" s="24"/>
    </row>
    <row r="108" spans="1:6" s="22" customFormat="1" ht="30" customHeight="1">
      <c r="A108" s="34" t="s">
        <v>511</v>
      </c>
      <c r="B108" s="2" t="s">
        <v>302</v>
      </c>
      <c r="C108" s="1" t="s">
        <v>95</v>
      </c>
      <c r="D108" s="2" t="s">
        <v>510</v>
      </c>
      <c r="E108" s="24">
        <v>315</v>
      </c>
      <c r="F108" s="24"/>
    </row>
    <row r="109" spans="1:6" s="22" customFormat="1" ht="21" customHeight="1">
      <c r="A109" s="8" t="s">
        <v>148</v>
      </c>
      <c r="B109" s="2" t="s">
        <v>302</v>
      </c>
      <c r="C109" s="1" t="s">
        <v>434</v>
      </c>
      <c r="D109" s="2" t="s">
        <v>335</v>
      </c>
      <c r="E109" s="24">
        <f>E110</f>
        <v>42055.600000000006</v>
      </c>
      <c r="F109" s="24"/>
    </row>
    <row r="110" spans="1:6" s="22" customFormat="1" ht="21.75" customHeight="1">
      <c r="A110" s="8" t="s">
        <v>366</v>
      </c>
      <c r="B110" s="2" t="s">
        <v>302</v>
      </c>
      <c r="C110" s="2" t="s">
        <v>149</v>
      </c>
      <c r="D110" s="2" t="s">
        <v>335</v>
      </c>
      <c r="E110" s="24">
        <f>E111+E114+E119</f>
        <v>42055.600000000006</v>
      </c>
      <c r="F110" s="24"/>
    </row>
    <row r="111" spans="1:6" s="22" customFormat="1" ht="24.75" customHeight="1">
      <c r="A111" s="34" t="s">
        <v>417</v>
      </c>
      <c r="B111" s="2" t="s">
        <v>302</v>
      </c>
      <c r="C111" s="2" t="s">
        <v>150</v>
      </c>
      <c r="D111" s="2" t="s">
        <v>335</v>
      </c>
      <c r="E111" s="24">
        <f>E112</f>
        <v>1761.3000000000002</v>
      </c>
      <c r="F111" s="24"/>
    </row>
    <row r="112" spans="1:6" s="22" customFormat="1" ht="63.75" customHeight="1">
      <c r="A112" s="21" t="s">
        <v>522</v>
      </c>
      <c r="B112" s="2" t="s">
        <v>302</v>
      </c>
      <c r="C112" s="2" t="s">
        <v>150</v>
      </c>
      <c r="D112" s="2" t="s">
        <v>514</v>
      </c>
      <c r="E112" s="24">
        <f>E113</f>
        <v>1761.3000000000002</v>
      </c>
      <c r="F112" s="24"/>
    </row>
    <row r="113" spans="1:6" s="22" customFormat="1" ht="22.5" customHeight="1">
      <c r="A113" s="21" t="s">
        <v>507</v>
      </c>
      <c r="B113" s="2" t="s">
        <v>302</v>
      </c>
      <c r="C113" s="2" t="s">
        <v>150</v>
      </c>
      <c r="D113" s="2" t="s">
        <v>506</v>
      </c>
      <c r="E113" s="24">
        <f>527.7-421.3+669.7+985.2</f>
        <v>1761.3000000000002</v>
      </c>
      <c r="F113" s="24"/>
    </row>
    <row r="114" spans="1:6" s="22" customFormat="1" ht="24" customHeight="1">
      <c r="A114" s="34" t="s">
        <v>418</v>
      </c>
      <c r="B114" s="2" t="s">
        <v>302</v>
      </c>
      <c r="C114" s="2" t="s">
        <v>151</v>
      </c>
      <c r="D114" s="2" t="s">
        <v>335</v>
      </c>
      <c r="E114" s="24">
        <f>E115+E117</f>
        <v>32672.300000000003</v>
      </c>
      <c r="F114" s="24"/>
    </row>
    <row r="115" spans="1:6" s="22" customFormat="1" ht="66.75" customHeight="1">
      <c r="A115" s="21" t="s">
        <v>522</v>
      </c>
      <c r="B115" s="2" t="s">
        <v>302</v>
      </c>
      <c r="C115" s="2" t="s">
        <v>151</v>
      </c>
      <c r="D115" s="2" t="s">
        <v>514</v>
      </c>
      <c r="E115" s="24">
        <f>E116</f>
        <v>32144.700000000004</v>
      </c>
      <c r="F115" s="24"/>
    </row>
    <row r="116" spans="1:6" s="22" customFormat="1" ht="19.5" customHeight="1">
      <c r="A116" s="21" t="s">
        <v>507</v>
      </c>
      <c r="B116" s="2" t="s">
        <v>302</v>
      </c>
      <c r="C116" s="2" t="s">
        <v>151</v>
      </c>
      <c r="D116" s="2" t="s">
        <v>506</v>
      </c>
      <c r="E116" s="24">
        <f>40991.3-2300-800-1800-669.7-3000-1000+723.1</f>
        <v>32144.700000000004</v>
      </c>
      <c r="F116" s="24"/>
    </row>
    <row r="117" spans="1:6" s="22" customFormat="1" ht="23.25" customHeight="1">
      <c r="A117" s="8" t="s">
        <v>549</v>
      </c>
      <c r="B117" s="2" t="s">
        <v>302</v>
      </c>
      <c r="C117" s="2" t="s">
        <v>151</v>
      </c>
      <c r="D117" s="2" t="s">
        <v>547</v>
      </c>
      <c r="E117" s="24">
        <f>E118</f>
        <v>527.6</v>
      </c>
      <c r="F117" s="24"/>
    </row>
    <row r="118" spans="1:6" s="22" customFormat="1" ht="28.5" customHeight="1">
      <c r="A118" s="8" t="s">
        <v>282</v>
      </c>
      <c r="B118" s="2" t="s">
        <v>302</v>
      </c>
      <c r="C118" s="2" t="s">
        <v>151</v>
      </c>
      <c r="D118" s="2" t="s">
        <v>281</v>
      </c>
      <c r="E118" s="24">
        <f>527.6</f>
        <v>527.6</v>
      </c>
      <c r="F118" s="24"/>
    </row>
    <row r="119" spans="1:6" s="22" customFormat="1" ht="30.75" customHeight="1">
      <c r="A119" s="34" t="s">
        <v>309</v>
      </c>
      <c r="B119" s="2" t="s">
        <v>302</v>
      </c>
      <c r="C119" s="2" t="s">
        <v>152</v>
      </c>
      <c r="D119" s="2" t="s">
        <v>335</v>
      </c>
      <c r="E119" s="24">
        <f>E120+E122</f>
        <v>7621.999999999999</v>
      </c>
      <c r="F119" s="24"/>
    </row>
    <row r="120" spans="1:6" s="22" customFormat="1" ht="20.25" customHeight="1">
      <c r="A120" s="34" t="s">
        <v>509</v>
      </c>
      <c r="B120" s="2" t="s">
        <v>302</v>
      </c>
      <c r="C120" s="2" t="s">
        <v>152</v>
      </c>
      <c r="D120" s="2" t="s">
        <v>508</v>
      </c>
      <c r="E120" s="24">
        <f>E121</f>
        <v>7565.999999999999</v>
      </c>
      <c r="F120" s="24"/>
    </row>
    <row r="121" spans="1:6" s="22" customFormat="1" ht="33.75" customHeight="1">
      <c r="A121" s="33" t="s">
        <v>511</v>
      </c>
      <c r="B121" s="2" t="s">
        <v>302</v>
      </c>
      <c r="C121" s="2" t="s">
        <v>152</v>
      </c>
      <c r="D121" s="2" t="s">
        <v>510</v>
      </c>
      <c r="E121" s="24">
        <f>6367.5+3030+421.3+10-120-2142.8</f>
        <v>7565.999999999999</v>
      </c>
      <c r="F121" s="24"/>
    </row>
    <row r="122" spans="1:6" s="22" customFormat="1" ht="23.25" customHeight="1">
      <c r="A122" s="34" t="s">
        <v>513</v>
      </c>
      <c r="B122" s="2" t="s">
        <v>302</v>
      </c>
      <c r="C122" s="2" t="s">
        <v>152</v>
      </c>
      <c r="D122" s="2" t="s">
        <v>512</v>
      </c>
      <c r="E122" s="24">
        <f>E123</f>
        <v>56</v>
      </c>
      <c r="F122" s="24"/>
    </row>
    <row r="123" spans="1:6" s="22" customFormat="1" ht="18" customHeight="1">
      <c r="A123" s="80" t="s">
        <v>532</v>
      </c>
      <c r="B123" s="2" t="s">
        <v>302</v>
      </c>
      <c r="C123" s="2" t="s">
        <v>152</v>
      </c>
      <c r="D123" s="2" t="s">
        <v>531</v>
      </c>
      <c r="E123" s="24">
        <f>70-14</f>
        <v>56</v>
      </c>
      <c r="F123" s="24"/>
    </row>
    <row r="124" spans="1:6" s="22" customFormat="1" ht="41.25" customHeight="1">
      <c r="A124" s="20" t="s">
        <v>505</v>
      </c>
      <c r="B124" s="2" t="s">
        <v>302</v>
      </c>
      <c r="C124" s="2" t="s">
        <v>423</v>
      </c>
      <c r="D124" s="2" t="s">
        <v>335</v>
      </c>
      <c r="E124" s="24">
        <f>E125+E144+E137</f>
        <v>10533.999999999996</v>
      </c>
      <c r="F124" s="27">
        <f>F125</f>
        <v>0</v>
      </c>
    </row>
    <row r="125" spans="1:6" s="22" customFormat="1" ht="17.25" customHeight="1">
      <c r="A125" s="8" t="s">
        <v>366</v>
      </c>
      <c r="B125" s="2" t="s">
        <v>302</v>
      </c>
      <c r="C125" s="2" t="s">
        <v>425</v>
      </c>
      <c r="D125" s="2" t="s">
        <v>335</v>
      </c>
      <c r="E125" s="24">
        <f>E126+E129+E132</f>
        <v>4361.199999999995</v>
      </c>
      <c r="F125" s="27"/>
    </row>
    <row r="126" spans="1:6" s="22" customFormat="1" ht="17.25" customHeight="1">
      <c r="A126" s="34" t="s">
        <v>417</v>
      </c>
      <c r="B126" s="2" t="s">
        <v>302</v>
      </c>
      <c r="C126" s="2" t="s">
        <v>426</v>
      </c>
      <c r="D126" s="2" t="s">
        <v>335</v>
      </c>
      <c r="E126" s="24">
        <f>E127</f>
        <v>1021.1999999999998</v>
      </c>
      <c r="F126" s="27"/>
    </row>
    <row r="127" spans="1:6" s="22" customFormat="1" ht="66" customHeight="1">
      <c r="A127" s="21" t="s">
        <v>522</v>
      </c>
      <c r="B127" s="2" t="s">
        <v>302</v>
      </c>
      <c r="C127" s="2" t="s">
        <v>426</v>
      </c>
      <c r="D127" s="2" t="s">
        <v>514</v>
      </c>
      <c r="E127" s="24">
        <f>E128</f>
        <v>1021.1999999999998</v>
      </c>
      <c r="F127" s="27"/>
    </row>
    <row r="128" spans="1:6" s="22" customFormat="1" ht="22.5" customHeight="1">
      <c r="A128" s="21" t="s">
        <v>507</v>
      </c>
      <c r="B128" s="2" t="s">
        <v>302</v>
      </c>
      <c r="C128" s="2" t="s">
        <v>426</v>
      </c>
      <c r="D128" s="2" t="s">
        <v>506</v>
      </c>
      <c r="E128" s="24">
        <f>1583.1-527.7+11-45.2</f>
        <v>1021.1999999999998</v>
      </c>
      <c r="F128" s="27"/>
    </row>
    <row r="129" spans="1:6" s="22" customFormat="1" ht="21" customHeight="1">
      <c r="A129" s="34" t="s">
        <v>418</v>
      </c>
      <c r="B129" s="2" t="s">
        <v>302</v>
      </c>
      <c r="C129" s="2" t="s">
        <v>427</v>
      </c>
      <c r="D129" s="2" t="s">
        <v>335</v>
      </c>
      <c r="E129" s="24">
        <f>E130</f>
        <v>2664.7999999999956</v>
      </c>
      <c r="F129" s="27"/>
    </row>
    <row r="130" spans="1:6" s="22" customFormat="1" ht="65.25" customHeight="1">
      <c r="A130" s="21" t="s">
        <v>522</v>
      </c>
      <c r="B130" s="2" t="s">
        <v>302</v>
      </c>
      <c r="C130" s="2" t="s">
        <v>427</v>
      </c>
      <c r="D130" s="2" t="s">
        <v>514</v>
      </c>
      <c r="E130" s="24">
        <f>E131</f>
        <v>2664.7999999999956</v>
      </c>
      <c r="F130" s="27"/>
    </row>
    <row r="131" spans="1:6" s="22" customFormat="1" ht="21" customHeight="1">
      <c r="A131" s="21" t="s">
        <v>507</v>
      </c>
      <c r="B131" s="2" t="s">
        <v>302</v>
      </c>
      <c r="C131" s="2" t="s">
        <v>427</v>
      </c>
      <c r="D131" s="2" t="s">
        <v>506</v>
      </c>
      <c r="E131" s="24">
        <f>43656.1-40991.3</f>
        <v>2664.7999999999956</v>
      </c>
      <c r="F131" s="27"/>
    </row>
    <row r="132" spans="1:6" s="22" customFormat="1" ht="30.75" customHeight="1">
      <c r="A132" s="34" t="s">
        <v>309</v>
      </c>
      <c r="B132" s="2" t="s">
        <v>302</v>
      </c>
      <c r="C132" s="2" t="s">
        <v>428</v>
      </c>
      <c r="D132" s="2" t="s">
        <v>335</v>
      </c>
      <c r="E132" s="24">
        <f>E133+E135</f>
        <v>675.2</v>
      </c>
      <c r="F132" s="27"/>
    </row>
    <row r="133" spans="1:6" s="22" customFormat="1" ht="20.25" customHeight="1">
      <c r="A133" s="34" t="s">
        <v>509</v>
      </c>
      <c r="B133" s="2" t="s">
        <v>302</v>
      </c>
      <c r="C133" s="2" t="s">
        <v>428</v>
      </c>
      <c r="D133" s="2" t="s">
        <v>508</v>
      </c>
      <c r="E133" s="24">
        <f>E134</f>
        <v>675.1</v>
      </c>
      <c r="F133" s="27"/>
    </row>
    <row r="134" spans="1:6" s="22" customFormat="1" ht="27.75" customHeight="1">
      <c r="A134" s="34" t="s">
        <v>511</v>
      </c>
      <c r="B134" s="2" t="s">
        <v>302</v>
      </c>
      <c r="C134" s="2" t="s">
        <v>428</v>
      </c>
      <c r="D134" s="2" t="s">
        <v>510</v>
      </c>
      <c r="E134" s="24">
        <f>6838.5+3030-9397.5-0.1-11+120+45.2+50</f>
        <v>675.1</v>
      </c>
      <c r="F134" s="27"/>
    </row>
    <row r="135" spans="1:6" s="22" customFormat="1" ht="19.5" customHeight="1">
      <c r="A135" s="34" t="s">
        <v>513</v>
      </c>
      <c r="B135" s="2" t="s">
        <v>302</v>
      </c>
      <c r="C135" s="2" t="s">
        <v>428</v>
      </c>
      <c r="D135" s="2" t="s">
        <v>512</v>
      </c>
      <c r="E135" s="24">
        <f>E136</f>
        <v>0.10000000000000142</v>
      </c>
      <c r="F135" s="27"/>
    </row>
    <row r="136" spans="1:6" s="22" customFormat="1" ht="19.5" customHeight="1">
      <c r="A136" s="34" t="s">
        <v>532</v>
      </c>
      <c r="B136" s="2" t="s">
        <v>302</v>
      </c>
      <c r="C136" s="2" t="s">
        <v>428</v>
      </c>
      <c r="D136" s="2" t="s">
        <v>531</v>
      </c>
      <c r="E136" s="24">
        <f>120-70+0.1-50</f>
        <v>0.10000000000000142</v>
      </c>
      <c r="F136" s="27"/>
    </row>
    <row r="137" spans="1:6" s="22" customFormat="1" ht="51.75" customHeight="1">
      <c r="A137" s="34" t="s">
        <v>475</v>
      </c>
      <c r="B137" s="2" t="s">
        <v>302</v>
      </c>
      <c r="C137" s="2" t="s">
        <v>7</v>
      </c>
      <c r="D137" s="2" t="s">
        <v>335</v>
      </c>
      <c r="E137" s="24">
        <f>E138+E141</f>
        <v>3475.7000000000007</v>
      </c>
      <c r="F137" s="27"/>
    </row>
    <row r="138" spans="1:6" s="22" customFormat="1" ht="24" customHeight="1">
      <c r="A138" s="34" t="s">
        <v>418</v>
      </c>
      <c r="B138" s="2" t="s">
        <v>302</v>
      </c>
      <c r="C138" s="2" t="s">
        <v>8</v>
      </c>
      <c r="D138" s="2" t="s">
        <v>335</v>
      </c>
      <c r="E138" s="24">
        <f>E139</f>
        <v>2480.2000000000007</v>
      </c>
      <c r="F138" s="27"/>
    </row>
    <row r="139" spans="1:6" s="22" customFormat="1" ht="69" customHeight="1">
      <c r="A139" s="21" t="s">
        <v>522</v>
      </c>
      <c r="B139" s="2" t="s">
        <v>302</v>
      </c>
      <c r="C139" s="2" t="s">
        <v>8</v>
      </c>
      <c r="D139" s="2" t="s">
        <v>514</v>
      </c>
      <c r="E139" s="24">
        <f>E140</f>
        <v>2480.2000000000007</v>
      </c>
      <c r="F139" s="27"/>
    </row>
    <row r="140" spans="1:6" s="22" customFormat="1" ht="19.5" customHeight="1">
      <c r="A140" s="21" t="s">
        <v>507</v>
      </c>
      <c r="B140" s="2" t="s">
        <v>302</v>
      </c>
      <c r="C140" s="2" t="s">
        <v>8</v>
      </c>
      <c r="D140" s="2" t="s">
        <v>506</v>
      </c>
      <c r="E140" s="24">
        <f>2965.8-76.2-202.1-103.7-103.6</f>
        <v>2480.2000000000007</v>
      </c>
      <c r="F140" s="27"/>
    </row>
    <row r="141" spans="1:6" s="22" customFormat="1" ht="29.25" customHeight="1">
      <c r="A141" s="34" t="s">
        <v>309</v>
      </c>
      <c r="B141" s="2" t="s">
        <v>302</v>
      </c>
      <c r="C141" s="2" t="s">
        <v>9</v>
      </c>
      <c r="D141" s="2" t="s">
        <v>335</v>
      </c>
      <c r="E141" s="24">
        <f>E142</f>
        <v>995.5000000000001</v>
      </c>
      <c r="F141" s="27"/>
    </row>
    <row r="142" spans="1:6" s="22" customFormat="1" ht="19.5" customHeight="1">
      <c r="A142" s="34" t="s">
        <v>509</v>
      </c>
      <c r="B142" s="2" t="s">
        <v>302</v>
      </c>
      <c r="C142" s="2" t="s">
        <v>9</v>
      </c>
      <c r="D142" s="2" t="s">
        <v>508</v>
      </c>
      <c r="E142" s="24">
        <f>E143</f>
        <v>995.5000000000001</v>
      </c>
      <c r="F142" s="27"/>
    </row>
    <row r="143" spans="1:6" s="22" customFormat="1" ht="27.75" customHeight="1">
      <c r="A143" s="34" t="s">
        <v>511</v>
      </c>
      <c r="B143" s="2" t="s">
        <v>302</v>
      </c>
      <c r="C143" s="2" t="s">
        <v>9</v>
      </c>
      <c r="D143" s="2" t="s">
        <v>510</v>
      </c>
      <c r="E143" s="24">
        <f>1102.7-20.3-86.9</f>
        <v>995.5000000000001</v>
      </c>
      <c r="F143" s="27"/>
    </row>
    <row r="144" spans="1:6" s="22" customFormat="1" ht="30" customHeight="1">
      <c r="A144" s="81" t="s">
        <v>303</v>
      </c>
      <c r="B144" s="2" t="s">
        <v>302</v>
      </c>
      <c r="C144" s="2" t="s">
        <v>430</v>
      </c>
      <c r="D144" s="2" t="s">
        <v>335</v>
      </c>
      <c r="E144" s="24">
        <f>E145+E147</f>
        <v>2697.1000000000004</v>
      </c>
      <c r="F144" s="27"/>
    </row>
    <row r="145" spans="1:6" s="22" customFormat="1" ht="66.75" customHeight="1">
      <c r="A145" s="21" t="s">
        <v>522</v>
      </c>
      <c r="B145" s="2" t="s">
        <v>302</v>
      </c>
      <c r="C145" s="2" t="s">
        <v>430</v>
      </c>
      <c r="D145" s="2" t="s">
        <v>514</v>
      </c>
      <c r="E145" s="24">
        <f>E146</f>
        <v>2489.8</v>
      </c>
      <c r="F145" s="27"/>
    </row>
    <row r="146" spans="1:6" s="22" customFormat="1" ht="22.5" customHeight="1">
      <c r="A146" s="21" t="s">
        <v>507</v>
      </c>
      <c r="B146" s="2" t="s">
        <v>302</v>
      </c>
      <c r="C146" s="2" t="s">
        <v>430</v>
      </c>
      <c r="D146" s="2" t="s">
        <v>506</v>
      </c>
      <c r="E146" s="24">
        <v>2489.8</v>
      </c>
      <c r="F146" s="27"/>
    </row>
    <row r="147" spans="1:6" s="22" customFormat="1" ht="54.75" customHeight="1">
      <c r="A147" s="21" t="s">
        <v>65</v>
      </c>
      <c r="B147" s="2" t="s">
        <v>302</v>
      </c>
      <c r="C147" s="2" t="s">
        <v>50</v>
      </c>
      <c r="D147" s="2" t="s">
        <v>335</v>
      </c>
      <c r="E147" s="24">
        <f>E148</f>
        <v>207.3</v>
      </c>
      <c r="F147" s="27"/>
    </row>
    <row r="148" spans="1:6" s="22" customFormat="1" ht="68.25" customHeight="1">
      <c r="A148" s="21" t="s">
        <v>522</v>
      </c>
      <c r="B148" s="2" t="s">
        <v>302</v>
      </c>
      <c r="C148" s="2" t="s">
        <v>50</v>
      </c>
      <c r="D148" s="2" t="s">
        <v>514</v>
      </c>
      <c r="E148" s="24">
        <f>E149</f>
        <v>207.3</v>
      </c>
      <c r="F148" s="27"/>
    </row>
    <row r="149" spans="1:6" s="22" customFormat="1" ht="22.5" customHeight="1">
      <c r="A149" s="21" t="s">
        <v>507</v>
      </c>
      <c r="B149" s="2" t="s">
        <v>302</v>
      </c>
      <c r="C149" s="2" t="s">
        <v>50</v>
      </c>
      <c r="D149" s="2" t="s">
        <v>506</v>
      </c>
      <c r="E149" s="24">
        <f>103.7+103.6</f>
        <v>207.3</v>
      </c>
      <c r="F149" s="27"/>
    </row>
    <row r="150" spans="1:6" s="22" customFormat="1" ht="18.75" customHeight="1">
      <c r="A150" s="81" t="s">
        <v>415</v>
      </c>
      <c r="B150" s="32" t="s">
        <v>413</v>
      </c>
      <c r="C150" s="32" t="s">
        <v>358</v>
      </c>
      <c r="D150" s="32" t="s">
        <v>335</v>
      </c>
      <c r="E150" s="79">
        <f>E151</f>
        <v>6141</v>
      </c>
      <c r="F150" s="40"/>
    </row>
    <row r="151" spans="1:6" s="22" customFormat="1" ht="24" customHeight="1">
      <c r="A151" s="82" t="s">
        <v>416</v>
      </c>
      <c r="B151" s="32" t="s">
        <v>413</v>
      </c>
      <c r="C151" s="32" t="s">
        <v>423</v>
      </c>
      <c r="D151" s="32" t="s">
        <v>335</v>
      </c>
      <c r="E151" s="79">
        <f>E152</f>
        <v>6141</v>
      </c>
      <c r="F151" s="40"/>
    </row>
    <row r="152" spans="1:6" s="22" customFormat="1" ht="18.75" customHeight="1">
      <c r="A152" s="8" t="s">
        <v>366</v>
      </c>
      <c r="B152" s="32" t="s">
        <v>413</v>
      </c>
      <c r="C152" s="32" t="s">
        <v>425</v>
      </c>
      <c r="D152" s="32" t="s">
        <v>335</v>
      </c>
      <c r="E152" s="79">
        <f>E153</f>
        <v>6141</v>
      </c>
      <c r="F152" s="40"/>
    </row>
    <row r="153" spans="1:6" s="22" customFormat="1" ht="18.75" customHeight="1">
      <c r="A153" s="34" t="s">
        <v>509</v>
      </c>
      <c r="B153" s="32" t="s">
        <v>413</v>
      </c>
      <c r="C153" s="2" t="s">
        <v>428</v>
      </c>
      <c r="D153" s="32" t="s">
        <v>508</v>
      </c>
      <c r="E153" s="79">
        <f>E154</f>
        <v>6141</v>
      </c>
      <c r="F153" s="40"/>
    </row>
    <row r="154" spans="1:6" s="22" customFormat="1" ht="28.5" customHeight="1">
      <c r="A154" s="34" t="s">
        <v>511</v>
      </c>
      <c r="B154" s="32" t="s">
        <v>413</v>
      </c>
      <c r="C154" s="2" t="s">
        <v>428</v>
      </c>
      <c r="D154" s="32" t="s">
        <v>510</v>
      </c>
      <c r="E154" s="79">
        <v>6141</v>
      </c>
      <c r="F154" s="40"/>
    </row>
    <row r="155" spans="1:6" s="22" customFormat="1" ht="16.5" customHeight="1">
      <c r="A155" s="18" t="s">
        <v>354</v>
      </c>
      <c r="B155" s="2" t="s">
        <v>398</v>
      </c>
      <c r="C155" s="32" t="s">
        <v>358</v>
      </c>
      <c r="D155" s="2" t="s">
        <v>335</v>
      </c>
      <c r="E155" s="24">
        <f>E156</f>
        <v>7000</v>
      </c>
      <c r="F155" s="27"/>
    </row>
    <row r="156" spans="1:6" s="22" customFormat="1" ht="17.25" customHeight="1">
      <c r="A156" s="8" t="s">
        <v>288</v>
      </c>
      <c r="B156" s="2" t="s">
        <v>398</v>
      </c>
      <c r="C156" s="32" t="s">
        <v>573</v>
      </c>
      <c r="D156" s="2" t="s">
        <v>335</v>
      </c>
      <c r="E156" s="24">
        <f>E157</f>
        <v>7000</v>
      </c>
      <c r="F156" s="27"/>
    </row>
    <row r="157" spans="1:6" s="22" customFormat="1" ht="17.25" customHeight="1">
      <c r="A157" s="34" t="s">
        <v>513</v>
      </c>
      <c r="B157" s="2" t="s">
        <v>398</v>
      </c>
      <c r="C157" s="32" t="s">
        <v>573</v>
      </c>
      <c r="D157" s="2" t="s">
        <v>512</v>
      </c>
      <c r="E157" s="24">
        <f>E158</f>
        <v>7000</v>
      </c>
      <c r="F157" s="27"/>
    </row>
    <row r="158" spans="1:6" s="22" customFormat="1" ht="19.5" customHeight="1">
      <c r="A158" s="8" t="s">
        <v>285</v>
      </c>
      <c r="B158" s="2" t="s">
        <v>398</v>
      </c>
      <c r="C158" s="32" t="s">
        <v>573</v>
      </c>
      <c r="D158" s="2" t="s">
        <v>284</v>
      </c>
      <c r="E158" s="24">
        <f>7000</f>
        <v>7000</v>
      </c>
      <c r="F158" s="27"/>
    </row>
    <row r="159" spans="1:6" s="22" customFormat="1" ht="21" customHeight="1">
      <c r="A159" s="14" t="s">
        <v>389</v>
      </c>
      <c r="B159" s="2" t="s">
        <v>318</v>
      </c>
      <c r="C159" s="2" t="s">
        <v>358</v>
      </c>
      <c r="D159" s="2" t="s">
        <v>335</v>
      </c>
      <c r="E159" s="24">
        <f>E160+E163+E199+E202+E205+E220+E242+E250+E217</f>
        <v>175087.3</v>
      </c>
      <c r="F159" s="24">
        <f>F220+F199+F163+F250+F242+F205</f>
        <v>79058</v>
      </c>
    </row>
    <row r="160" spans="1:6" s="22" customFormat="1" ht="79.5" customHeight="1">
      <c r="A160" s="33" t="s">
        <v>76</v>
      </c>
      <c r="B160" s="2" t="s">
        <v>318</v>
      </c>
      <c r="C160" s="2" t="s">
        <v>191</v>
      </c>
      <c r="D160" s="2" t="s">
        <v>335</v>
      </c>
      <c r="E160" s="27">
        <f>E161</f>
        <v>200</v>
      </c>
      <c r="F160" s="27"/>
    </row>
    <row r="161" spans="1:6" s="22" customFormat="1" ht="21" customHeight="1">
      <c r="A161" s="34" t="s">
        <v>509</v>
      </c>
      <c r="B161" s="2" t="s">
        <v>318</v>
      </c>
      <c r="C161" s="2" t="s">
        <v>577</v>
      </c>
      <c r="D161" s="6" t="s">
        <v>508</v>
      </c>
      <c r="E161" s="27">
        <f>E162</f>
        <v>200</v>
      </c>
      <c r="F161" s="27"/>
    </row>
    <row r="162" spans="1:6" s="22" customFormat="1" ht="28.5" customHeight="1">
      <c r="A162" s="34" t="s">
        <v>511</v>
      </c>
      <c r="B162" s="2" t="s">
        <v>318</v>
      </c>
      <c r="C162" s="2" t="s">
        <v>577</v>
      </c>
      <c r="D162" s="6" t="s">
        <v>510</v>
      </c>
      <c r="E162" s="27">
        <f>200</f>
        <v>200</v>
      </c>
      <c r="F162" s="27"/>
    </row>
    <row r="163" spans="1:6" s="22" customFormat="1" ht="79.5" customHeight="1">
      <c r="A163" s="104" t="s">
        <v>78</v>
      </c>
      <c r="B163" s="2" t="s">
        <v>318</v>
      </c>
      <c r="C163" s="2" t="s">
        <v>438</v>
      </c>
      <c r="D163" s="2" t="s">
        <v>335</v>
      </c>
      <c r="E163" s="24">
        <f>E166+E188+E164+E171+E176+E179+E182+E185+E191+E196+E168</f>
        <v>77807.6</v>
      </c>
      <c r="F163" s="24">
        <f>F166+F188+F164+F171+F176+F179+F182+F185+F191+F196+F168</f>
        <v>57773</v>
      </c>
    </row>
    <row r="164" spans="1:6" s="22" customFormat="1" ht="23.25" customHeight="1">
      <c r="A164" s="34" t="s">
        <v>509</v>
      </c>
      <c r="B164" s="2" t="s">
        <v>318</v>
      </c>
      <c r="C164" s="2" t="s">
        <v>88</v>
      </c>
      <c r="D164" s="2" t="s">
        <v>508</v>
      </c>
      <c r="E164" s="24">
        <f>E165</f>
        <v>4955.4</v>
      </c>
      <c r="F164" s="27"/>
    </row>
    <row r="165" spans="1:6" s="22" customFormat="1" ht="27" customHeight="1">
      <c r="A165" s="34" t="s">
        <v>511</v>
      </c>
      <c r="B165" s="2" t="s">
        <v>318</v>
      </c>
      <c r="C165" s="2" t="s">
        <v>88</v>
      </c>
      <c r="D165" s="2" t="s">
        <v>510</v>
      </c>
      <c r="E165" s="24">
        <f>4575.4+23+357</f>
        <v>4955.4</v>
      </c>
      <c r="F165" s="27">
        <v>0</v>
      </c>
    </row>
    <row r="166" spans="1:6" s="22" customFormat="1" ht="28.5" customHeight="1">
      <c r="A166" s="35" t="s">
        <v>536</v>
      </c>
      <c r="B166" s="2" t="s">
        <v>318</v>
      </c>
      <c r="C166" s="2" t="s">
        <v>88</v>
      </c>
      <c r="D166" s="2" t="s">
        <v>535</v>
      </c>
      <c r="E166" s="24">
        <f>E167</f>
        <v>15079.2</v>
      </c>
      <c r="F166" s="27"/>
    </row>
    <row r="167" spans="1:6" s="22" customFormat="1" ht="21" customHeight="1">
      <c r="A167" s="15" t="s">
        <v>534</v>
      </c>
      <c r="B167" s="2" t="s">
        <v>318</v>
      </c>
      <c r="C167" s="2" t="s">
        <v>88</v>
      </c>
      <c r="D167" s="2" t="s">
        <v>533</v>
      </c>
      <c r="E167" s="24">
        <f>1476+4114.2+11147.8+5335.8+763-9947.8+690+880.2-23-357+1000</f>
        <v>15079.2</v>
      </c>
      <c r="F167" s="27"/>
    </row>
    <row r="168" spans="1:6" s="22" customFormat="1" ht="79.5" customHeight="1">
      <c r="A168" s="15" t="s">
        <v>252</v>
      </c>
      <c r="B168" s="2" t="s">
        <v>318</v>
      </c>
      <c r="C168" s="2" t="s">
        <v>250</v>
      </c>
      <c r="D168" s="2" t="s">
        <v>335</v>
      </c>
      <c r="E168" s="24">
        <f>E169</f>
        <v>7155</v>
      </c>
      <c r="F168" s="24">
        <f>F169</f>
        <v>7155</v>
      </c>
    </row>
    <row r="169" spans="1:6" s="22" customFormat="1" ht="21" customHeight="1">
      <c r="A169" s="34" t="s">
        <v>509</v>
      </c>
      <c r="B169" s="2" t="s">
        <v>318</v>
      </c>
      <c r="C169" s="2" t="s">
        <v>250</v>
      </c>
      <c r="D169" s="2" t="s">
        <v>508</v>
      </c>
      <c r="E169" s="24">
        <f>E170</f>
        <v>7155</v>
      </c>
      <c r="F169" s="24">
        <f>F170</f>
        <v>7155</v>
      </c>
    </row>
    <row r="170" spans="1:6" s="22" customFormat="1" ht="27.75" customHeight="1">
      <c r="A170" s="34" t="s">
        <v>511</v>
      </c>
      <c r="B170" s="2" t="s">
        <v>318</v>
      </c>
      <c r="C170" s="2" t="s">
        <v>250</v>
      </c>
      <c r="D170" s="2" t="s">
        <v>510</v>
      </c>
      <c r="E170" s="24">
        <f>4655+2500</f>
        <v>7155</v>
      </c>
      <c r="F170" s="24">
        <f>E170</f>
        <v>7155</v>
      </c>
    </row>
    <row r="171" spans="1:6" s="22" customFormat="1" ht="116.25" customHeight="1">
      <c r="A171" s="15" t="s">
        <v>243</v>
      </c>
      <c r="B171" s="2" t="s">
        <v>318</v>
      </c>
      <c r="C171" s="2" t="s">
        <v>238</v>
      </c>
      <c r="D171" s="2" t="s">
        <v>335</v>
      </c>
      <c r="E171" s="27">
        <f>E174+E172</f>
        <v>1891</v>
      </c>
      <c r="F171" s="27">
        <f>F174+F172</f>
        <v>1891</v>
      </c>
    </row>
    <row r="172" spans="1:6" s="22" customFormat="1" ht="24.75" customHeight="1">
      <c r="A172" s="34" t="s">
        <v>509</v>
      </c>
      <c r="B172" s="2" t="s">
        <v>318</v>
      </c>
      <c r="C172" s="2" t="s">
        <v>238</v>
      </c>
      <c r="D172" s="2" t="s">
        <v>508</v>
      </c>
      <c r="E172" s="27">
        <f>E173</f>
        <v>1189</v>
      </c>
      <c r="F172" s="27">
        <f>F173</f>
        <v>1189</v>
      </c>
    </row>
    <row r="173" spans="1:6" s="22" customFormat="1" ht="32.25" customHeight="1">
      <c r="A173" s="34" t="s">
        <v>511</v>
      </c>
      <c r="B173" s="2" t="s">
        <v>318</v>
      </c>
      <c r="C173" s="2" t="s">
        <v>238</v>
      </c>
      <c r="D173" s="2" t="s">
        <v>510</v>
      </c>
      <c r="E173" s="27">
        <v>1189</v>
      </c>
      <c r="F173" s="27">
        <v>1189</v>
      </c>
    </row>
    <row r="174" spans="1:6" s="22" customFormat="1" ht="27" customHeight="1">
      <c r="A174" s="35" t="s">
        <v>536</v>
      </c>
      <c r="B174" s="2" t="s">
        <v>318</v>
      </c>
      <c r="C174" s="2" t="s">
        <v>238</v>
      </c>
      <c r="D174" s="2" t="s">
        <v>535</v>
      </c>
      <c r="E174" s="27">
        <f>E175</f>
        <v>702</v>
      </c>
      <c r="F174" s="27">
        <f>F175</f>
        <v>702</v>
      </c>
    </row>
    <row r="175" spans="1:6" s="22" customFormat="1" ht="21" customHeight="1">
      <c r="A175" s="15" t="s">
        <v>534</v>
      </c>
      <c r="B175" s="2" t="s">
        <v>318</v>
      </c>
      <c r="C175" s="2" t="s">
        <v>238</v>
      </c>
      <c r="D175" s="2" t="s">
        <v>533</v>
      </c>
      <c r="E175" s="27">
        <v>702</v>
      </c>
      <c r="F175" s="27">
        <f>E175</f>
        <v>702</v>
      </c>
    </row>
    <row r="176" spans="1:6" s="22" customFormat="1" ht="116.25" customHeight="1">
      <c r="A176" s="15" t="s">
        <v>242</v>
      </c>
      <c r="B176" s="2" t="s">
        <v>318</v>
      </c>
      <c r="C176" s="2" t="s">
        <v>239</v>
      </c>
      <c r="D176" s="2" t="s">
        <v>335</v>
      </c>
      <c r="E176" s="27">
        <f>E177</f>
        <v>14806</v>
      </c>
      <c r="F176" s="27">
        <f>F177</f>
        <v>14806</v>
      </c>
    </row>
    <row r="177" spans="1:6" s="22" customFormat="1" ht="21.75" customHeight="1">
      <c r="A177" s="34" t="s">
        <v>509</v>
      </c>
      <c r="B177" s="2" t="s">
        <v>318</v>
      </c>
      <c r="C177" s="2" t="s">
        <v>239</v>
      </c>
      <c r="D177" s="2" t="s">
        <v>508</v>
      </c>
      <c r="E177" s="27">
        <f>E178</f>
        <v>14806</v>
      </c>
      <c r="F177" s="27">
        <f>F178</f>
        <v>14806</v>
      </c>
    </row>
    <row r="178" spans="1:6" s="22" customFormat="1" ht="30.75" customHeight="1">
      <c r="A178" s="34" t="s">
        <v>511</v>
      </c>
      <c r="B178" s="2" t="s">
        <v>318</v>
      </c>
      <c r="C178" s="2" t="s">
        <v>239</v>
      </c>
      <c r="D178" s="2" t="s">
        <v>510</v>
      </c>
      <c r="E178" s="27">
        <f>8026+2160.2+4619.8</f>
        <v>14806</v>
      </c>
      <c r="F178" s="27">
        <f>E178</f>
        <v>14806</v>
      </c>
    </row>
    <row r="179" spans="1:6" s="22" customFormat="1" ht="143.25" customHeight="1">
      <c r="A179" s="15" t="s">
        <v>241</v>
      </c>
      <c r="B179" s="2" t="s">
        <v>318</v>
      </c>
      <c r="C179" s="2" t="s">
        <v>240</v>
      </c>
      <c r="D179" s="2" t="s">
        <v>335</v>
      </c>
      <c r="E179" s="27">
        <f>E180</f>
        <v>1266</v>
      </c>
      <c r="F179" s="27">
        <f>F180</f>
        <v>1266</v>
      </c>
    </row>
    <row r="180" spans="1:6" s="22" customFormat="1" ht="27" customHeight="1">
      <c r="A180" s="35" t="s">
        <v>536</v>
      </c>
      <c r="B180" s="2" t="s">
        <v>318</v>
      </c>
      <c r="C180" s="2" t="s">
        <v>240</v>
      </c>
      <c r="D180" s="2" t="s">
        <v>535</v>
      </c>
      <c r="E180" s="27">
        <f>E181</f>
        <v>1266</v>
      </c>
      <c r="F180" s="27">
        <f>F181</f>
        <v>1266</v>
      </c>
    </row>
    <row r="181" spans="1:6" s="22" customFormat="1" ht="21" customHeight="1">
      <c r="A181" s="117" t="s">
        <v>534</v>
      </c>
      <c r="B181" s="2" t="s">
        <v>318</v>
      </c>
      <c r="C181" s="2" t="s">
        <v>240</v>
      </c>
      <c r="D181" s="2" t="s">
        <v>533</v>
      </c>
      <c r="E181" s="27">
        <v>1266</v>
      </c>
      <c r="F181" s="27">
        <f>E181</f>
        <v>1266</v>
      </c>
    </row>
    <row r="182" spans="1:6" s="22" customFormat="1" ht="142.5" customHeight="1">
      <c r="A182" s="15" t="s">
        <v>253</v>
      </c>
      <c r="B182" s="2" t="s">
        <v>318</v>
      </c>
      <c r="C182" s="2" t="s">
        <v>249</v>
      </c>
      <c r="D182" s="2" t="s">
        <v>335</v>
      </c>
      <c r="E182" s="27">
        <f>E183</f>
        <v>546</v>
      </c>
      <c r="F182" s="27">
        <f>F183</f>
        <v>546</v>
      </c>
    </row>
    <row r="183" spans="1:6" s="22" customFormat="1" ht="27.75" customHeight="1">
      <c r="A183" s="35" t="s">
        <v>536</v>
      </c>
      <c r="B183" s="2" t="s">
        <v>318</v>
      </c>
      <c r="C183" s="2" t="s">
        <v>249</v>
      </c>
      <c r="D183" s="2" t="s">
        <v>535</v>
      </c>
      <c r="E183" s="27">
        <f>E184</f>
        <v>546</v>
      </c>
      <c r="F183" s="27">
        <f>F184</f>
        <v>546</v>
      </c>
    </row>
    <row r="184" spans="1:6" s="22" customFormat="1" ht="21" customHeight="1">
      <c r="A184" s="15" t="s">
        <v>534</v>
      </c>
      <c r="B184" s="2" t="s">
        <v>318</v>
      </c>
      <c r="C184" s="2" t="s">
        <v>249</v>
      </c>
      <c r="D184" s="2" t="s">
        <v>533</v>
      </c>
      <c r="E184" s="27">
        <v>546</v>
      </c>
      <c r="F184" s="27">
        <f>E184</f>
        <v>546</v>
      </c>
    </row>
    <row r="185" spans="1:6" s="22" customFormat="1" ht="156" customHeight="1">
      <c r="A185" s="15" t="s">
        <v>255</v>
      </c>
      <c r="B185" s="2" t="s">
        <v>318</v>
      </c>
      <c r="C185" s="2" t="s">
        <v>254</v>
      </c>
      <c r="D185" s="2" t="s">
        <v>335</v>
      </c>
      <c r="E185" s="27">
        <f>E186</f>
        <v>416</v>
      </c>
      <c r="F185" s="27">
        <f>F186</f>
        <v>416</v>
      </c>
    </row>
    <row r="186" spans="1:6" s="22" customFormat="1" ht="27" customHeight="1">
      <c r="A186" s="35" t="s">
        <v>536</v>
      </c>
      <c r="B186" s="2" t="s">
        <v>318</v>
      </c>
      <c r="C186" s="2" t="s">
        <v>254</v>
      </c>
      <c r="D186" s="2" t="s">
        <v>535</v>
      </c>
      <c r="E186" s="27">
        <f>E187</f>
        <v>416</v>
      </c>
      <c r="F186" s="27">
        <f>F187</f>
        <v>416</v>
      </c>
    </row>
    <row r="187" spans="1:6" s="22" customFormat="1" ht="21" customHeight="1">
      <c r="A187" s="15" t="s">
        <v>534</v>
      </c>
      <c r="B187" s="2" t="s">
        <v>318</v>
      </c>
      <c r="C187" s="2" t="s">
        <v>254</v>
      </c>
      <c r="D187" s="2" t="s">
        <v>533</v>
      </c>
      <c r="E187" s="27">
        <v>416</v>
      </c>
      <c r="F187" s="27">
        <f>E187</f>
        <v>416</v>
      </c>
    </row>
    <row r="188" spans="1:6" s="22" customFormat="1" ht="106.5" customHeight="1">
      <c r="A188" s="15" t="s">
        <v>248</v>
      </c>
      <c r="B188" s="2" t="s">
        <v>318</v>
      </c>
      <c r="C188" s="2" t="s">
        <v>156</v>
      </c>
      <c r="D188" s="2" t="s">
        <v>335</v>
      </c>
      <c r="E188" s="27">
        <f>E189</f>
        <v>21886</v>
      </c>
      <c r="F188" s="27">
        <f>F189</f>
        <v>21886</v>
      </c>
    </row>
    <row r="189" spans="1:6" s="22" customFormat="1" ht="25.5" customHeight="1">
      <c r="A189" s="15" t="s">
        <v>536</v>
      </c>
      <c r="B189" s="2" t="s">
        <v>318</v>
      </c>
      <c r="C189" s="2" t="s">
        <v>156</v>
      </c>
      <c r="D189" s="2" t="s">
        <v>535</v>
      </c>
      <c r="E189" s="27">
        <f>E190</f>
        <v>21886</v>
      </c>
      <c r="F189" s="27">
        <f>F190</f>
        <v>21886</v>
      </c>
    </row>
    <row r="190" spans="1:6" s="22" customFormat="1" ht="21" customHeight="1">
      <c r="A190" s="15" t="s">
        <v>157</v>
      </c>
      <c r="B190" s="2" t="s">
        <v>318</v>
      </c>
      <c r="C190" s="2" t="s">
        <v>156</v>
      </c>
      <c r="D190" s="2" t="s">
        <v>533</v>
      </c>
      <c r="E190" s="27">
        <f>15762+10423-4300+1</f>
        <v>21886</v>
      </c>
      <c r="F190" s="27">
        <f>15762+10423-4300+1</f>
        <v>21886</v>
      </c>
    </row>
    <row r="191" spans="1:6" s="22" customFormat="1" ht="105" customHeight="1">
      <c r="A191" s="15" t="s">
        <v>257</v>
      </c>
      <c r="B191" s="2" t="s">
        <v>318</v>
      </c>
      <c r="C191" s="2" t="s">
        <v>256</v>
      </c>
      <c r="D191" s="2" t="s">
        <v>335</v>
      </c>
      <c r="E191" s="27">
        <f>E194+E192</f>
        <v>8401</v>
      </c>
      <c r="F191" s="27">
        <f>F194+F192</f>
        <v>8401</v>
      </c>
    </row>
    <row r="192" spans="1:6" s="22" customFormat="1" ht="19.5" customHeight="1">
      <c r="A192" s="34" t="s">
        <v>509</v>
      </c>
      <c r="B192" s="2" t="s">
        <v>318</v>
      </c>
      <c r="C192" s="2" t="s">
        <v>256</v>
      </c>
      <c r="D192" s="2" t="s">
        <v>508</v>
      </c>
      <c r="E192" s="27">
        <f>E193</f>
        <v>6623</v>
      </c>
      <c r="F192" s="27">
        <f>F193</f>
        <v>6623</v>
      </c>
    </row>
    <row r="193" spans="1:6" s="22" customFormat="1" ht="29.25" customHeight="1">
      <c r="A193" s="34" t="s">
        <v>511</v>
      </c>
      <c r="B193" s="2" t="s">
        <v>318</v>
      </c>
      <c r="C193" s="2" t="s">
        <v>256</v>
      </c>
      <c r="D193" s="2" t="s">
        <v>510</v>
      </c>
      <c r="E193" s="27">
        <v>6623</v>
      </c>
      <c r="F193" s="27">
        <v>6623</v>
      </c>
    </row>
    <row r="194" spans="1:6" s="22" customFormat="1" ht="29.25" customHeight="1">
      <c r="A194" s="15" t="s">
        <v>536</v>
      </c>
      <c r="B194" s="2" t="s">
        <v>318</v>
      </c>
      <c r="C194" s="2" t="s">
        <v>256</v>
      </c>
      <c r="D194" s="2" t="s">
        <v>535</v>
      </c>
      <c r="E194" s="27">
        <f>E195</f>
        <v>1778</v>
      </c>
      <c r="F194" s="27">
        <f>F195</f>
        <v>1778</v>
      </c>
    </row>
    <row r="195" spans="1:6" s="22" customFormat="1" ht="21" customHeight="1">
      <c r="A195" s="15" t="s">
        <v>157</v>
      </c>
      <c r="B195" s="2" t="s">
        <v>318</v>
      </c>
      <c r="C195" s="2" t="s">
        <v>256</v>
      </c>
      <c r="D195" s="2" t="s">
        <v>533</v>
      </c>
      <c r="E195" s="27">
        <v>1778</v>
      </c>
      <c r="F195" s="27">
        <f>E195</f>
        <v>1778</v>
      </c>
    </row>
    <row r="196" spans="1:6" s="22" customFormat="1" ht="116.25" customHeight="1">
      <c r="A196" s="15" t="s">
        <v>270</v>
      </c>
      <c r="B196" s="2" t="s">
        <v>318</v>
      </c>
      <c r="C196" s="2" t="s">
        <v>258</v>
      </c>
      <c r="D196" s="2" t="s">
        <v>335</v>
      </c>
      <c r="E196" s="27">
        <f>E197</f>
        <v>1406</v>
      </c>
      <c r="F196" s="27">
        <f>F197</f>
        <v>1406</v>
      </c>
    </row>
    <row r="197" spans="1:6" s="22" customFormat="1" ht="28.5" customHeight="1">
      <c r="A197" s="34" t="s">
        <v>509</v>
      </c>
      <c r="B197" s="2" t="s">
        <v>318</v>
      </c>
      <c r="C197" s="2" t="s">
        <v>258</v>
      </c>
      <c r="D197" s="2" t="s">
        <v>508</v>
      </c>
      <c r="E197" s="27">
        <f>E198</f>
        <v>1406</v>
      </c>
      <c r="F197" s="27">
        <f>F198</f>
        <v>1406</v>
      </c>
    </row>
    <row r="198" spans="1:6" s="22" customFormat="1" ht="32.25" customHeight="1">
      <c r="A198" s="34" t="s">
        <v>511</v>
      </c>
      <c r="B198" s="2" t="s">
        <v>318</v>
      </c>
      <c r="C198" s="2" t="s">
        <v>258</v>
      </c>
      <c r="D198" s="2" t="s">
        <v>510</v>
      </c>
      <c r="E198" s="27">
        <f>974+432</f>
        <v>1406</v>
      </c>
      <c r="F198" s="27">
        <f>E198</f>
        <v>1406</v>
      </c>
    </row>
    <row r="199" spans="1:6" s="22" customFormat="1" ht="23.25" customHeight="1">
      <c r="A199" s="13" t="s">
        <v>305</v>
      </c>
      <c r="B199" s="2" t="s">
        <v>318</v>
      </c>
      <c r="C199" s="2" t="s">
        <v>431</v>
      </c>
      <c r="D199" s="2" t="s">
        <v>335</v>
      </c>
      <c r="E199" s="24">
        <f>E200</f>
        <v>1038.2</v>
      </c>
      <c r="F199" s="27">
        <f>F201</f>
        <v>0</v>
      </c>
    </row>
    <row r="200" spans="1:6" s="22" customFormat="1" ht="18" customHeight="1">
      <c r="A200" s="34" t="s">
        <v>509</v>
      </c>
      <c r="B200" s="2" t="s">
        <v>318</v>
      </c>
      <c r="C200" s="2" t="s">
        <v>431</v>
      </c>
      <c r="D200" s="2" t="s">
        <v>508</v>
      </c>
      <c r="E200" s="24">
        <f>E201</f>
        <v>1038.2</v>
      </c>
      <c r="F200" s="27"/>
    </row>
    <row r="201" spans="1:6" s="22" customFormat="1" ht="28.5" customHeight="1">
      <c r="A201" s="34" t="s">
        <v>511</v>
      </c>
      <c r="B201" s="2" t="s">
        <v>318</v>
      </c>
      <c r="C201" s="2" t="s">
        <v>431</v>
      </c>
      <c r="D201" s="2" t="s">
        <v>510</v>
      </c>
      <c r="E201" s="24">
        <f>2605-1000-23.5-314.2-50-400+219.5+1.4</f>
        <v>1038.2</v>
      </c>
      <c r="F201" s="27">
        <v>0</v>
      </c>
    </row>
    <row r="202" spans="1:6" s="22" customFormat="1" ht="28.5" customHeight="1">
      <c r="A202" s="34" t="s">
        <v>131</v>
      </c>
      <c r="B202" s="2" t="s">
        <v>318</v>
      </c>
      <c r="C202" s="84" t="s">
        <v>259</v>
      </c>
      <c r="D202" s="84" t="s">
        <v>335</v>
      </c>
      <c r="E202" s="29">
        <f>E203</f>
        <v>2300</v>
      </c>
      <c r="F202" s="51"/>
    </row>
    <row r="203" spans="1:6" s="22" customFormat="1" ht="19.5" customHeight="1">
      <c r="A203" s="34" t="s">
        <v>509</v>
      </c>
      <c r="B203" s="2" t="s">
        <v>318</v>
      </c>
      <c r="C203" s="84" t="s">
        <v>259</v>
      </c>
      <c r="D203" s="84" t="s">
        <v>508</v>
      </c>
      <c r="E203" s="29">
        <f>E204</f>
        <v>2300</v>
      </c>
      <c r="F203" s="51"/>
    </row>
    <row r="204" spans="1:6" s="22" customFormat="1" ht="28.5" customHeight="1">
      <c r="A204" s="118" t="s">
        <v>511</v>
      </c>
      <c r="B204" s="2" t="s">
        <v>318</v>
      </c>
      <c r="C204" s="48" t="s">
        <v>259</v>
      </c>
      <c r="D204" s="48" t="s">
        <v>510</v>
      </c>
      <c r="E204" s="27">
        <f>2300</f>
        <v>2300</v>
      </c>
      <c r="F204" s="55"/>
    </row>
    <row r="205" spans="1:6" s="22" customFormat="1" ht="66" customHeight="1">
      <c r="A205" s="118" t="s">
        <v>218</v>
      </c>
      <c r="B205" s="2" t="s">
        <v>318</v>
      </c>
      <c r="C205" s="2" t="s">
        <v>219</v>
      </c>
      <c r="D205" s="2" t="s">
        <v>335</v>
      </c>
      <c r="E205" s="24">
        <f>E206+E212+E209</f>
        <v>16897.1</v>
      </c>
      <c r="F205" s="27"/>
    </row>
    <row r="206" spans="1:6" s="22" customFormat="1" ht="80.25" customHeight="1">
      <c r="A206" s="34" t="s">
        <v>200</v>
      </c>
      <c r="B206" s="2" t="s">
        <v>318</v>
      </c>
      <c r="C206" s="5" t="s">
        <v>201</v>
      </c>
      <c r="D206" s="2" t="s">
        <v>335</v>
      </c>
      <c r="E206" s="24">
        <f>E207</f>
        <v>761.8000000000001</v>
      </c>
      <c r="F206" s="27"/>
    </row>
    <row r="207" spans="1:6" s="22" customFormat="1" ht="22.5" customHeight="1">
      <c r="A207" s="34" t="s">
        <v>513</v>
      </c>
      <c r="B207" s="2" t="s">
        <v>318</v>
      </c>
      <c r="C207" s="5" t="s">
        <v>201</v>
      </c>
      <c r="D207" s="2" t="s">
        <v>512</v>
      </c>
      <c r="E207" s="24">
        <f>E208</f>
        <v>761.8000000000001</v>
      </c>
      <c r="F207" s="27"/>
    </row>
    <row r="208" spans="1:6" s="22" customFormat="1" ht="21" customHeight="1">
      <c r="A208" s="118" t="s">
        <v>129</v>
      </c>
      <c r="B208" s="2" t="s">
        <v>318</v>
      </c>
      <c r="C208" s="2" t="s">
        <v>201</v>
      </c>
      <c r="D208" s="2" t="s">
        <v>540</v>
      </c>
      <c r="E208" s="24">
        <f>23.5+300+60.2+135+94.7+104.4+44</f>
        <v>761.8000000000001</v>
      </c>
      <c r="F208" s="27"/>
    </row>
    <row r="209" spans="1:6" s="22" customFormat="1" ht="78.75" customHeight="1">
      <c r="A209" s="118" t="s">
        <v>202</v>
      </c>
      <c r="B209" s="2" t="s">
        <v>318</v>
      </c>
      <c r="C209" s="2" t="s">
        <v>204</v>
      </c>
      <c r="D209" s="2" t="s">
        <v>335</v>
      </c>
      <c r="E209" s="24">
        <f>E210</f>
        <v>5522.999999999999</v>
      </c>
      <c r="F209" s="27"/>
    </row>
    <row r="210" spans="1:6" s="22" customFormat="1" ht="21" customHeight="1">
      <c r="A210" s="118" t="s">
        <v>513</v>
      </c>
      <c r="B210" s="2" t="s">
        <v>318</v>
      </c>
      <c r="C210" s="2" t="s">
        <v>204</v>
      </c>
      <c r="D210" s="2" t="s">
        <v>512</v>
      </c>
      <c r="E210" s="24">
        <f>E211</f>
        <v>5522.999999999999</v>
      </c>
      <c r="F210" s="27"/>
    </row>
    <row r="211" spans="1:6" s="22" customFormat="1" ht="21" customHeight="1">
      <c r="A211" s="118" t="s">
        <v>129</v>
      </c>
      <c r="B211" s="2" t="s">
        <v>318</v>
      </c>
      <c r="C211" s="2" t="s">
        <v>204</v>
      </c>
      <c r="D211" s="2" t="s">
        <v>540</v>
      </c>
      <c r="E211" s="24">
        <f>2294.2-171.4-60.2+400+231.6+463.7+644+921.9+199.2+600</f>
        <v>5522.999999999999</v>
      </c>
      <c r="F211" s="27"/>
    </row>
    <row r="212" spans="1:6" s="22" customFormat="1" ht="79.5" customHeight="1">
      <c r="A212" s="34" t="s">
        <v>203</v>
      </c>
      <c r="B212" s="2" t="s">
        <v>318</v>
      </c>
      <c r="C212" s="5" t="s">
        <v>205</v>
      </c>
      <c r="D212" s="2" t="s">
        <v>335</v>
      </c>
      <c r="E212" s="24">
        <f>E215+E213</f>
        <v>10612.3</v>
      </c>
      <c r="F212" s="27"/>
    </row>
    <row r="213" spans="1:6" s="22" customFormat="1" ht="21.75" customHeight="1">
      <c r="A213" s="34" t="s">
        <v>509</v>
      </c>
      <c r="B213" s="2" t="s">
        <v>318</v>
      </c>
      <c r="C213" s="5" t="s">
        <v>205</v>
      </c>
      <c r="D213" s="2" t="s">
        <v>508</v>
      </c>
      <c r="E213" s="25">
        <f>E214</f>
        <v>171.4</v>
      </c>
      <c r="F213" s="25"/>
    </row>
    <row r="214" spans="1:6" s="22" customFormat="1" ht="29.25" customHeight="1">
      <c r="A214" s="34" t="s">
        <v>511</v>
      </c>
      <c r="B214" s="2" t="s">
        <v>318</v>
      </c>
      <c r="C214" s="5" t="s">
        <v>205</v>
      </c>
      <c r="D214" s="1" t="s">
        <v>510</v>
      </c>
      <c r="E214" s="25">
        <v>171.4</v>
      </c>
      <c r="F214" s="25"/>
    </row>
    <row r="215" spans="1:6" s="22" customFormat="1" ht="21" customHeight="1">
      <c r="A215" s="118" t="s">
        <v>513</v>
      </c>
      <c r="B215" s="2" t="s">
        <v>318</v>
      </c>
      <c r="C215" s="2" t="s">
        <v>205</v>
      </c>
      <c r="D215" s="2" t="s">
        <v>512</v>
      </c>
      <c r="E215" s="24">
        <f>E216</f>
        <v>10440.9</v>
      </c>
      <c r="F215" s="27"/>
    </row>
    <row r="216" spans="1:6" s="22" customFormat="1" ht="21" customHeight="1">
      <c r="A216" s="34" t="s">
        <v>129</v>
      </c>
      <c r="B216" s="2" t="s">
        <v>318</v>
      </c>
      <c r="C216" s="5" t="s">
        <v>205</v>
      </c>
      <c r="D216" s="2" t="s">
        <v>540</v>
      </c>
      <c r="E216" s="24">
        <f>314.2+10000+55.9+300+550-231.6-135-264.2-104.4-44</f>
        <v>10440.9</v>
      </c>
      <c r="F216" s="27"/>
    </row>
    <row r="217" spans="1:6" s="22" customFormat="1" ht="21" customHeight="1">
      <c r="A217" s="34" t="s">
        <v>521</v>
      </c>
      <c r="B217" s="2" t="s">
        <v>318</v>
      </c>
      <c r="C217" s="5" t="s">
        <v>520</v>
      </c>
      <c r="D217" s="2" t="s">
        <v>335</v>
      </c>
      <c r="E217" s="24">
        <f>E218</f>
        <v>100</v>
      </c>
      <c r="F217" s="27"/>
    </row>
    <row r="218" spans="1:6" s="22" customFormat="1" ht="21" customHeight="1">
      <c r="A218" s="118" t="s">
        <v>513</v>
      </c>
      <c r="B218" s="2" t="s">
        <v>318</v>
      </c>
      <c r="C218" s="5" t="s">
        <v>520</v>
      </c>
      <c r="D218" s="2" t="s">
        <v>512</v>
      </c>
      <c r="E218" s="24">
        <f>E219</f>
        <v>100</v>
      </c>
      <c r="F218" s="27"/>
    </row>
    <row r="219" spans="1:6" s="22" customFormat="1" ht="38.25" customHeight="1">
      <c r="A219" s="34" t="s">
        <v>274</v>
      </c>
      <c r="B219" s="2" t="s">
        <v>318</v>
      </c>
      <c r="C219" s="5" t="s">
        <v>520</v>
      </c>
      <c r="D219" s="2" t="s">
        <v>276</v>
      </c>
      <c r="E219" s="24">
        <f>100</f>
        <v>100</v>
      </c>
      <c r="F219" s="27"/>
    </row>
    <row r="220" spans="1:6" s="22" customFormat="1" ht="28.5" customHeight="1">
      <c r="A220" s="82" t="s">
        <v>53</v>
      </c>
      <c r="B220" s="2" t="s">
        <v>318</v>
      </c>
      <c r="C220" s="6" t="s">
        <v>515</v>
      </c>
      <c r="D220" s="2" t="s">
        <v>335</v>
      </c>
      <c r="E220" s="24">
        <f>E221</f>
        <v>31759.399999999998</v>
      </c>
      <c r="F220" s="70"/>
    </row>
    <row r="221" spans="1:6" s="22" customFormat="1" ht="17.25" customHeight="1">
      <c r="A221" s="8" t="s">
        <v>148</v>
      </c>
      <c r="B221" s="2" t="s">
        <v>318</v>
      </c>
      <c r="C221" s="2" t="s">
        <v>434</v>
      </c>
      <c r="D221" s="2" t="s">
        <v>335</v>
      </c>
      <c r="E221" s="24">
        <f>E222</f>
        <v>31759.399999999998</v>
      </c>
      <c r="F221" s="70"/>
    </row>
    <row r="222" spans="1:6" s="22" customFormat="1" ht="29.25" customHeight="1">
      <c r="A222" s="13" t="s">
        <v>537</v>
      </c>
      <c r="B222" s="2" t="s">
        <v>318</v>
      </c>
      <c r="C222" s="2" t="s">
        <v>153</v>
      </c>
      <c r="D222" s="2" t="s">
        <v>335</v>
      </c>
      <c r="E222" s="24">
        <f>E223+E230</f>
        <v>31759.399999999998</v>
      </c>
      <c r="F222" s="27"/>
    </row>
    <row r="223" spans="1:6" s="22" customFormat="1" ht="45.75" customHeight="1">
      <c r="A223" s="80" t="s">
        <v>528</v>
      </c>
      <c r="B223" s="2" t="s">
        <v>318</v>
      </c>
      <c r="C223" s="2" t="s">
        <v>153</v>
      </c>
      <c r="D223" s="2" t="s">
        <v>335</v>
      </c>
      <c r="E223" s="24">
        <f>E224+E226+E228</f>
        <v>30579.1</v>
      </c>
      <c r="F223" s="27"/>
    </row>
    <row r="224" spans="1:6" s="22" customFormat="1" ht="66" customHeight="1">
      <c r="A224" s="21" t="s">
        <v>522</v>
      </c>
      <c r="B224" s="2" t="s">
        <v>318</v>
      </c>
      <c r="C224" s="2" t="s">
        <v>153</v>
      </c>
      <c r="D224" s="2" t="s">
        <v>514</v>
      </c>
      <c r="E224" s="24">
        <f>E225</f>
        <v>18943.899999999998</v>
      </c>
      <c r="F224" s="27"/>
    </row>
    <row r="225" spans="1:6" s="22" customFormat="1" ht="21.75" customHeight="1">
      <c r="A225" s="21" t="s">
        <v>530</v>
      </c>
      <c r="B225" s="2" t="s">
        <v>318</v>
      </c>
      <c r="C225" s="2" t="s">
        <v>153</v>
      </c>
      <c r="D225" s="1" t="s">
        <v>523</v>
      </c>
      <c r="E225" s="25">
        <f>18899.8+44.1</f>
        <v>18943.899999999998</v>
      </c>
      <c r="F225" s="25"/>
    </row>
    <row r="226" spans="1:6" s="22" customFormat="1" ht="22.5" customHeight="1">
      <c r="A226" s="34" t="s">
        <v>509</v>
      </c>
      <c r="B226" s="2" t="s">
        <v>318</v>
      </c>
      <c r="C226" s="2" t="s">
        <v>153</v>
      </c>
      <c r="D226" s="2" t="s">
        <v>508</v>
      </c>
      <c r="E226" s="25">
        <f>E227</f>
        <v>11135.199999999999</v>
      </c>
      <c r="F226" s="25"/>
    </row>
    <row r="227" spans="1:6" s="22" customFormat="1" ht="28.5" customHeight="1">
      <c r="A227" s="34" t="s">
        <v>511</v>
      </c>
      <c r="B227" s="2" t="s">
        <v>318</v>
      </c>
      <c r="C227" s="2" t="s">
        <v>153</v>
      </c>
      <c r="D227" s="1" t="s">
        <v>510</v>
      </c>
      <c r="E227" s="25">
        <f>9582+897.3+700-44.1</f>
        <v>11135.199999999999</v>
      </c>
      <c r="F227" s="25"/>
    </row>
    <row r="228" spans="1:6" s="22" customFormat="1" ht="20.25" customHeight="1">
      <c r="A228" s="34" t="s">
        <v>513</v>
      </c>
      <c r="B228" s="2" t="s">
        <v>318</v>
      </c>
      <c r="C228" s="2" t="s">
        <v>153</v>
      </c>
      <c r="D228" s="2" t="s">
        <v>512</v>
      </c>
      <c r="E228" s="25">
        <f>E229</f>
        <v>500</v>
      </c>
      <c r="F228" s="25"/>
    </row>
    <row r="229" spans="1:6" s="22" customFormat="1" ht="17.25" customHeight="1">
      <c r="A229" s="80" t="s">
        <v>532</v>
      </c>
      <c r="B229" s="2" t="s">
        <v>318</v>
      </c>
      <c r="C229" s="2" t="s">
        <v>153</v>
      </c>
      <c r="D229" s="2" t="s">
        <v>531</v>
      </c>
      <c r="E229" s="25">
        <v>500</v>
      </c>
      <c r="F229" s="25"/>
    </row>
    <row r="230" spans="1:6" s="22" customFormat="1" ht="31.5" customHeight="1">
      <c r="A230" s="80" t="s">
        <v>527</v>
      </c>
      <c r="B230" s="2" t="s">
        <v>318</v>
      </c>
      <c r="C230" s="2" t="s">
        <v>526</v>
      </c>
      <c r="D230" s="2" t="s">
        <v>335</v>
      </c>
      <c r="E230" s="25">
        <f>E231+E233+E235+E237</f>
        <v>1180.3</v>
      </c>
      <c r="F230" s="25"/>
    </row>
    <row r="231" spans="1:6" s="22" customFormat="1" ht="65.25" customHeight="1">
      <c r="A231" s="21" t="s">
        <v>522</v>
      </c>
      <c r="B231" s="2" t="s">
        <v>318</v>
      </c>
      <c r="C231" s="2" t="s">
        <v>526</v>
      </c>
      <c r="D231" s="2" t="s">
        <v>514</v>
      </c>
      <c r="E231" s="24">
        <f>E232</f>
        <v>787.9</v>
      </c>
      <c r="F231" s="27"/>
    </row>
    <row r="232" spans="1:6" s="22" customFormat="1" ht="17.25" customHeight="1">
      <c r="A232" s="21" t="s">
        <v>530</v>
      </c>
      <c r="B232" s="2" t="s">
        <v>318</v>
      </c>
      <c r="C232" s="2" t="s">
        <v>526</v>
      </c>
      <c r="D232" s="1" t="s">
        <v>523</v>
      </c>
      <c r="E232" s="25">
        <f>787.9</f>
        <v>787.9</v>
      </c>
      <c r="F232" s="25"/>
    </row>
    <row r="233" spans="1:6" s="22" customFormat="1" ht="17.25" customHeight="1">
      <c r="A233" s="118" t="s">
        <v>509</v>
      </c>
      <c r="B233" s="2" t="s">
        <v>318</v>
      </c>
      <c r="C233" s="2" t="s">
        <v>526</v>
      </c>
      <c r="D233" s="2" t="s">
        <v>508</v>
      </c>
      <c r="E233" s="25">
        <f>E234</f>
        <v>35.2</v>
      </c>
      <c r="F233" s="25"/>
    </row>
    <row r="234" spans="1:6" s="22" customFormat="1" ht="29.25" customHeight="1">
      <c r="A234" s="34" t="s">
        <v>511</v>
      </c>
      <c r="B234" s="2" t="s">
        <v>318</v>
      </c>
      <c r="C234" s="2" t="s">
        <v>526</v>
      </c>
      <c r="D234" s="1" t="s">
        <v>510</v>
      </c>
      <c r="E234" s="25">
        <f>43-7.8</f>
        <v>35.2</v>
      </c>
      <c r="F234" s="25"/>
    </row>
    <row r="235" spans="1:6" s="22" customFormat="1" ht="17.25" customHeight="1">
      <c r="A235" s="34" t="s">
        <v>513</v>
      </c>
      <c r="B235" s="2" t="s">
        <v>318</v>
      </c>
      <c r="C235" s="2" t="s">
        <v>526</v>
      </c>
      <c r="D235" s="2" t="s">
        <v>512</v>
      </c>
      <c r="E235" s="25">
        <f>E236</f>
        <v>1</v>
      </c>
      <c r="F235" s="25"/>
    </row>
    <row r="236" spans="1:6" s="22" customFormat="1" ht="17.25" customHeight="1">
      <c r="A236" s="80" t="s">
        <v>532</v>
      </c>
      <c r="B236" s="2" t="s">
        <v>318</v>
      </c>
      <c r="C236" s="2" t="s">
        <v>526</v>
      </c>
      <c r="D236" s="2" t="s">
        <v>531</v>
      </c>
      <c r="E236" s="25">
        <f>1</f>
        <v>1</v>
      </c>
      <c r="F236" s="25"/>
    </row>
    <row r="237" spans="1:6" s="22" customFormat="1" ht="52.5" customHeight="1">
      <c r="A237" s="80" t="s">
        <v>24</v>
      </c>
      <c r="B237" s="2" t="s">
        <v>318</v>
      </c>
      <c r="C237" s="2" t="s">
        <v>25</v>
      </c>
      <c r="D237" s="2" t="s">
        <v>335</v>
      </c>
      <c r="E237" s="25">
        <f>E238+E240</f>
        <v>356.2</v>
      </c>
      <c r="F237" s="25"/>
    </row>
    <row r="238" spans="1:6" s="22" customFormat="1" ht="66.75" customHeight="1">
      <c r="A238" s="21" t="s">
        <v>522</v>
      </c>
      <c r="B238" s="2" t="s">
        <v>318</v>
      </c>
      <c r="C238" s="2" t="s">
        <v>25</v>
      </c>
      <c r="D238" s="2" t="s">
        <v>514</v>
      </c>
      <c r="E238" s="24">
        <f>E239</f>
        <v>278.7</v>
      </c>
      <c r="F238" s="27"/>
    </row>
    <row r="239" spans="1:6" s="22" customFormat="1" ht="17.25" customHeight="1">
      <c r="A239" s="21" t="s">
        <v>530</v>
      </c>
      <c r="B239" s="2" t="s">
        <v>318</v>
      </c>
      <c r="C239" s="2" t="s">
        <v>25</v>
      </c>
      <c r="D239" s="1" t="s">
        <v>523</v>
      </c>
      <c r="E239" s="25">
        <f>278.7</f>
        <v>278.7</v>
      </c>
      <c r="F239" s="25"/>
    </row>
    <row r="240" spans="1:6" s="22" customFormat="1" ht="17.25" customHeight="1">
      <c r="A240" s="34" t="s">
        <v>509</v>
      </c>
      <c r="B240" s="2" t="s">
        <v>318</v>
      </c>
      <c r="C240" s="2" t="s">
        <v>25</v>
      </c>
      <c r="D240" s="2" t="s">
        <v>508</v>
      </c>
      <c r="E240" s="25">
        <f>E241</f>
        <v>77.5</v>
      </c>
      <c r="F240" s="25"/>
    </row>
    <row r="241" spans="1:6" s="22" customFormat="1" ht="26.25" customHeight="1">
      <c r="A241" s="34" t="s">
        <v>511</v>
      </c>
      <c r="B241" s="2" t="s">
        <v>318</v>
      </c>
      <c r="C241" s="2" t="s">
        <v>25</v>
      </c>
      <c r="D241" s="1" t="s">
        <v>510</v>
      </c>
      <c r="E241" s="25">
        <f>69.7+7.8</f>
        <v>77.5</v>
      </c>
      <c r="F241" s="25"/>
    </row>
    <row r="242" spans="1:6" s="22" customFormat="1" ht="40.5" customHeight="1">
      <c r="A242" s="74" t="s">
        <v>85</v>
      </c>
      <c r="B242" s="32" t="s">
        <v>318</v>
      </c>
      <c r="C242" s="37" t="s">
        <v>89</v>
      </c>
      <c r="D242" s="37" t="s">
        <v>335</v>
      </c>
      <c r="E242" s="25">
        <f>E243</f>
        <v>21285.000000000004</v>
      </c>
      <c r="F242" s="25">
        <f>F243</f>
        <v>21285.000000000004</v>
      </c>
    </row>
    <row r="243" spans="1:6" s="22" customFormat="1" ht="80.25" customHeight="1">
      <c r="A243" s="80" t="s">
        <v>142</v>
      </c>
      <c r="B243" s="2" t="s">
        <v>318</v>
      </c>
      <c r="C243" s="2" t="s">
        <v>181</v>
      </c>
      <c r="D243" s="2" t="s">
        <v>335</v>
      </c>
      <c r="E243" s="25">
        <f>E246+E244+E248</f>
        <v>21285.000000000004</v>
      </c>
      <c r="F243" s="25">
        <f>F246+F244+F248</f>
        <v>21285.000000000004</v>
      </c>
    </row>
    <row r="244" spans="1:6" s="22" customFormat="1" ht="69" customHeight="1">
      <c r="A244" s="21" t="s">
        <v>522</v>
      </c>
      <c r="B244" s="2" t="s">
        <v>318</v>
      </c>
      <c r="C244" s="2" t="s">
        <v>181</v>
      </c>
      <c r="D244" s="2" t="s">
        <v>514</v>
      </c>
      <c r="E244" s="24">
        <f>E245</f>
        <v>18889.300000000003</v>
      </c>
      <c r="F244" s="24">
        <f>F245</f>
        <v>18889.300000000003</v>
      </c>
    </row>
    <row r="245" spans="1:6" s="22" customFormat="1" ht="25.5" customHeight="1">
      <c r="A245" s="21" t="s">
        <v>507</v>
      </c>
      <c r="B245" s="2" t="s">
        <v>318</v>
      </c>
      <c r="C245" s="2" t="s">
        <v>181</v>
      </c>
      <c r="D245" s="2" t="s">
        <v>506</v>
      </c>
      <c r="E245" s="24">
        <f>1446+1395.2-50+2222.5+1427+50-24+624.8+1008.2+1744+115.5+3423+27.2+3650.9+1829</f>
        <v>18889.300000000003</v>
      </c>
      <c r="F245" s="24">
        <f>E245</f>
        <v>18889.300000000003</v>
      </c>
    </row>
    <row r="246" spans="1:6" s="22" customFormat="1" ht="17.25" customHeight="1">
      <c r="A246" s="34" t="s">
        <v>509</v>
      </c>
      <c r="B246" s="2" t="s">
        <v>318</v>
      </c>
      <c r="C246" s="2" t="s">
        <v>181</v>
      </c>
      <c r="D246" s="2" t="s">
        <v>508</v>
      </c>
      <c r="E246" s="25">
        <f>E247</f>
        <v>2394.8999999999996</v>
      </c>
      <c r="F246" s="25">
        <f>F247</f>
        <v>2394.8999999999996</v>
      </c>
    </row>
    <row r="247" spans="1:6" s="22" customFormat="1" ht="32.25" customHeight="1">
      <c r="A247" s="34" t="s">
        <v>511</v>
      </c>
      <c r="B247" s="2" t="s">
        <v>318</v>
      </c>
      <c r="C247" s="2" t="s">
        <v>181</v>
      </c>
      <c r="D247" s="2" t="s">
        <v>510</v>
      </c>
      <c r="E247" s="25">
        <f>26511-5226-1446-0.8-1395.2+50-2222.5-1427-50+24-624.8-1008.2-1744-115.5-3423-27.2-3650.9-1829</f>
        <v>2394.8999999999996</v>
      </c>
      <c r="F247" s="25">
        <f>E247</f>
        <v>2394.8999999999996</v>
      </c>
    </row>
    <row r="248" spans="1:6" s="22" customFormat="1" ht="22.5" customHeight="1">
      <c r="A248" s="34" t="s">
        <v>513</v>
      </c>
      <c r="B248" s="2" t="s">
        <v>318</v>
      </c>
      <c r="C248" s="2" t="s">
        <v>181</v>
      </c>
      <c r="D248" s="2" t="s">
        <v>512</v>
      </c>
      <c r="E248" s="25">
        <f>E249</f>
        <v>0.8</v>
      </c>
      <c r="F248" s="25">
        <f>F249</f>
        <v>0.8</v>
      </c>
    </row>
    <row r="249" spans="1:6" s="22" customFormat="1" ht="22.5" customHeight="1">
      <c r="A249" s="80" t="s">
        <v>532</v>
      </c>
      <c r="B249" s="2" t="s">
        <v>318</v>
      </c>
      <c r="C249" s="2" t="s">
        <v>181</v>
      </c>
      <c r="D249" s="2" t="s">
        <v>531</v>
      </c>
      <c r="E249" s="25">
        <v>0.8</v>
      </c>
      <c r="F249" s="25">
        <v>0.8</v>
      </c>
    </row>
    <row r="250" spans="1:6" s="22" customFormat="1" ht="18" customHeight="1">
      <c r="A250" s="34" t="s">
        <v>554</v>
      </c>
      <c r="B250" s="2" t="s">
        <v>318</v>
      </c>
      <c r="C250" s="2" t="s">
        <v>580</v>
      </c>
      <c r="D250" s="2" t="s">
        <v>335</v>
      </c>
      <c r="E250" s="25">
        <f>E251+E253</f>
        <v>23700</v>
      </c>
      <c r="F250" s="25"/>
    </row>
    <row r="251" spans="1:6" s="22" customFormat="1" ht="18" customHeight="1">
      <c r="A251" s="34" t="s">
        <v>509</v>
      </c>
      <c r="B251" s="2" t="s">
        <v>318</v>
      </c>
      <c r="C251" s="2" t="s">
        <v>580</v>
      </c>
      <c r="D251" s="2" t="s">
        <v>508</v>
      </c>
      <c r="E251" s="25">
        <f>E252</f>
        <v>3650</v>
      </c>
      <c r="F251" s="25"/>
    </row>
    <row r="252" spans="1:6" s="22" customFormat="1" ht="27.75" customHeight="1">
      <c r="A252" s="34" t="s">
        <v>511</v>
      </c>
      <c r="B252" s="2" t="s">
        <v>318</v>
      </c>
      <c r="C252" s="2" t="s">
        <v>580</v>
      </c>
      <c r="D252" s="2" t="s">
        <v>510</v>
      </c>
      <c r="E252" s="25">
        <f>6300-2300-300-50</f>
        <v>3650</v>
      </c>
      <c r="F252" s="25"/>
    </row>
    <row r="253" spans="1:6" s="22" customFormat="1" ht="21.75" customHeight="1">
      <c r="A253" s="118" t="s">
        <v>513</v>
      </c>
      <c r="B253" s="2" t="s">
        <v>318</v>
      </c>
      <c r="C253" s="2" t="s">
        <v>580</v>
      </c>
      <c r="D253" s="2" t="s">
        <v>512</v>
      </c>
      <c r="E253" s="25">
        <f>E254+E255</f>
        <v>20050</v>
      </c>
      <c r="F253" s="25"/>
    </row>
    <row r="254" spans="1:6" s="22" customFormat="1" ht="20.25" customHeight="1">
      <c r="A254" s="34" t="s">
        <v>129</v>
      </c>
      <c r="B254" s="2" t="s">
        <v>318</v>
      </c>
      <c r="C254" s="2" t="s">
        <v>580</v>
      </c>
      <c r="D254" s="2" t="s">
        <v>540</v>
      </c>
      <c r="E254" s="25">
        <v>20000</v>
      </c>
      <c r="F254" s="25"/>
    </row>
    <row r="255" spans="1:6" s="22" customFormat="1" ht="20.25" customHeight="1">
      <c r="A255" s="80" t="s">
        <v>532</v>
      </c>
      <c r="B255" s="2" t="s">
        <v>318</v>
      </c>
      <c r="C255" s="2" t="s">
        <v>580</v>
      </c>
      <c r="D255" s="2" t="s">
        <v>531</v>
      </c>
      <c r="E255" s="25">
        <f>50</f>
        <v>50</v>
      </c>
      <c r="F255" s="25"/>
    </row>
    <row r="256" spans="1:6" s="67" customFormat="1" ht="19.5" customHeight="1">
      <c r="A256" s="49" t="s">
        <v>391</v>
      </c>
      <c r="B256" s="58" t="s">
        <v>392</v>
      </c>
      <c r="C256" s="58" t="s">
        <v>358</v>
      </c>
      <c r="D256" s="58" t="s">
        <v>335</v>
      </c>
      <c r="E256" s="55">
        <f>E257</f>
        <v>635</v>
      </c>
      <c r="F256" s="55"/>
    </row>
    <row r="257" spans="1:6" s="22" customFormat="1" ht="18.75" customHeight="1">
      <c r="A257" s="18" t="s">
        <v>353</v>
      </c>
      <c r="B257" s="2" t="s">
        <v>399</v>
      </c>
      <c r="C257" s="2" t="s">
        <v>358</v>
      </c>
      <c r="D257" s="2" t="s">
        <v>335</v>
      </c>
      <c r="E257" s="27">
        <f>E258</f>
        <v>635</v>
      </c>
      <c r="F257" s="27"/>
    </row>
    <row r="258" spans="1:6" s="22" customFormat="1" ht="25.5">
      <c r="A258" s="8" t="s">
        <v>393</v>
      </c>
      <c r="B258" s="2" t="s">
        <v>399</v>
      </c>
      <c r="C258" s="2" t="s">
        <v>609</v>
      </c>
      <c r="D258" s="2" t="s">
        <v>335</v>
      </c>
      <c r="E258" s="27">
        <f>E259</f>
        <v>635</v>
      </c>
      <c r="F258" s="27"/>
    </row>
    <row r="259" spans="1:6" s="22" customFormat="1" ht="19.5" customHeight="1">
      <c r="A259" s="34" t="s">
        <v>509</v>
      </c>
      <c r="B259" s="2" t="s">
        <v>399</v>
      </c>
      <c r="C259" s="2" t="s">
        <v>609</v>
      </c>
      <c r="D259" s="2" t="s">
        <v>508</v>
      </c>
      <c r="E259" s="27">
        <f>E260</f>
        <v>635</v>
      </c>
      <c r="F259" s="27"/>
    </row>
    <row r="260" spans="1:6" s="22" customFormat="1" ht="28.5" customHeight="1">
      <c r="A260" s="34" t="s">
        <v>511</v>
      </c>
      <c r="B260" s="2" t="s">
        <v>399</v>
      </c>
      <c r="C260" s="2" t="s">
        <v>609</v>
      </c>
      <c r="D260" s="2" t="s">
        <v>510</v>
      </c>
      <c r="E260" s="27">
        <f>705-70+21-21</f>
        <v>635</v>
      </c>
      <c r="F260" s="27"/>
    </row>
    <row r="261" spans="1:8" s="67" customFormat="1" ht="32.25" customHeight="1">
      <c r="A261" s="120" t="s">
        <v>361</v>
      </c>
      <c r="B261" s="58" t="s">
        <v>362</v>
      </c>
      <c r="C261" s="58" t="s">
        <v>358</v>
      </c>
      <c r="D261" s="58" t="s">
        <v>335</v>
      </c>
      <c r="E261" s="55">
        <f>E262</f>
        <v>24507.2</v>
      </c>
      <c r="F261" s="55">
        <f>F262</f>
        <v>0</v>
      </c>
      <c r="H261" s="90"/>
    </row>
    <row r="262" spans="1:6" s="22" customFormat="1" ht="38.25">
      <c r="A262" s="16" t="s">
        <v>300</v>
      </c>
      <c r="B262" s="2" t="s">
        <v>363</v>
      </c>
      <c r="C262" s="2" t="s">
        <v>358</v>
      </c>
      <c r="D262" s="1" t="s">
        <v>335</v>
      </c>
      <c r="E262" s="25">
        <f>E263+E286</f>
        <v>24507.2</v>
      </c>
      <c r="F262" s="25"/>
    </row>
    <row r="263" spans="1:8" s="22" customFormat="1" ht="40.5" customHeight="1">
      <c r="A263" s="121" t="s">
        <v>45</v>
      </c>
      <c r="B263" s="2" t="s">
        <v>363</v>
      </c>
      <c r="C263" s="106" t="s">
        <v>439</v>
      </c>
      <c r="D263" s="1" t="s">
        <v>335</v>
      </c>
      <c r="E263" s="24">
        <f>E270+E280+E264+E277</f>
        <v>23707.2</v>
      </c>
      <c r="F263" s="2"/>
      <c r="H263" s="97"/>
    </row>
    <row r="264" spans="1:6" s="22" customFormat="1" ht="40.5" customHeight="1">
      <c r="A264" s="121" t="s">
        <v>46</v>
      </c>
      <c r="B264" s="2" t="s">
        <v>363</v>
      </c>
      <c r="C264" s="32" t="s">
        <v>440</v>
      </c>
      <c r="D264" s="1" t="s">
        <v>335</v>
      </c>
      <c r="E264" s="24">
        <f>E265+E267</f>
        <v>3358.7</v>
      </c>
      <c r="F264" s="2"/>
    </row>
    <row r="265" spans="1:6" s="22" customFormat="1" ht="19.5" customHeight="1">
      <c r="A265" s="34" t="s">
        <v>509</v>
      </c>
      <c r="B265" s="2" t="s">
        <v>363</v>
      </c>
      <c r="C265" s="88" t="s">
        <v>602</v>
      </c>
      <c r="D265" s="6" t="s">
        <v>508</v>
      </c>
      <c r="E265" s="30">
        <f>E266</f>
        <v>2258.5</v>
      </c>
      <c r="F265" s="2"/>
    </row>
    <row r="266" spans="1:6" s="22" customFormat="1" ht="29.25" customHeight="1">
      <c r="A266" s="34" t="s">
        <v>511</v>
      </c>
      <c r="B266" s="2" t="s">
        <v>363</v>
      </c>
      <c r="C266" s="88" t="s">
        <v>602</v>
      </c>
      <c r="D266" s="6" t="s">
        <v>510</v>
      </c>
      <c r="E266" s="30">
        <f>6111.4-300.8-338.4-413.7-100-500-1000-1200</f>
        <v>2258.5</v>
      </c>
      <c r="F266" s="2"/>
    </row>
    <row r="267" spans="1:6" s="22" customFormat="1" ht="67.5" customHeight="1">
      <c r="A267" s="34" t="s">
        <v>260</v>
      </c>
      <c r="B267" s="2" t="s">
        <v>363</v>
      </c>
      <c r="C267" s="126" t="s">
        <v>172</v>
      </c>
      <c r="D267" s="6" t="s">
        <v>335</v>
      </c>
      <c r="E267" s="30">
        <f>E268</f>
        <v>1100.2</v>
      </c>
      <c r="F267" s="2"/>
    </row>
    <row r="268" spans="1:6" s="22" customFormat="1" ht="21" customHeight="1">
      <c r="A268" s="118" t="s">
        <v>171</v>
      </c>
      <c r="B268" s="2" t="s">
        <v>363</v>
      </c>
      <c r="C268" s="129" t="s">
        <v>172</v>
      </c>
      <c r="D268" s="1" t="s">
        <v>600</v>
      </c>
      <c r="E268" s="24">
        <f>E269</f>
        <v>1100.2</v>
      </c>
      <c r="F268" s="2"/>
    </row>
    <row r="269" spans="1:6" s="22" customFormat="1" ht="21" customHeight="1">
      <c r="A269" s="118" t="s">
        <v>422</v>
      </c>
      <c r="B269" s="2" t="s">
        <v>363</v>
      </c>
      <c r="C269" s="129" t="s">
        <v>172</v>
      </c>
      <c r="D269" s="1" t="s">
        <v>421</v>
      </c>
      <c r="E269" s="24">
        <f>1052.9+47.3</f>
        <v>1100.2</v>
      </c>
      <c r="F269" s="2"/>
    </row>
    <row r="270" spans="1:6" s="22" customFormat="1" ht="30.75" customHeight="1">
      <c r="A270" s="121" t="s">
        <v>47</v>
      </c>
      <c r="B270" s="2" t="s">
        <v>363</v>
      </c>
      <c r="C270" s="106" t="s">
        <v>441</v>
      </c>
      <c r="D270" s="1" t="s">
        <v>335</v>
      </c>
      <c r="E270" s="24">
        <f>E271+E273+E275</f>
        <v>17565.8</v>
      </c>
      <c r="F270" s="2"/>
    </row>
    <row r="271" spans="1:6" s="22" customFormat="1" ht="67.5" customHeight="1">
      <c r="A271" s="112" t="s">
        <v>522</v>
      </c>
      <c r="B271" s="2" t="s">
        <v>363</v>
      </c>
      <c r="C271" s="88" t="s">
        <v>603</v>
      </c>
      <c r="D271" s="6" t="s">
        <v>514</v>
      </c>
      <c r="E271" s="30">
        <f>E272</f>
        <v>13547.5</v>
      </c>
      <c r="F271" s="2"/>
    </row>
    <row r="272" spans="1:6" s="22" customFormat="1" ht="24.75" customHeight="1">
      <c r="A272" s="112" t="s">
        <v>530</v>
      </c>
      <c r="B272" s="2" t="s">
        <v>363</v>
      </c>
      <c r="C272" s="88" t="s">
        <v>603</v>
      </c>
      <c r="D272" s="6" t="s">
        <v>523</v>
      </c>
      <c r="E272" s="30">
        <f>14066+1.2-2000+594.5+885.8</f>
        <v>13547.5</v>
      </c>
      <c r="F272" s="2"/>
    </row>
    <row r="273" spans="1:6" s="22" customFormat="1" ht="20.25" customHeight="1">
      <c r="A273" s="34" t="s">
        <v>509</v>
      </c>
      <c r="B273" s="2" t="s">
        <v>363</v>
      </c>
      <c r="C273" s="88" t="s">
        <v>603</v>
      </c>
      <c r="D273" s="6" t="s">
        <v>508</v>
      </c>
      <c r="E273" s="30">
        <f>E274</f>
        <v>3966.1</v>
      </c>
      <c r="F273" s="2"/>
    </row>
    <row r="274" spans="1:6" s="22" customFormat="1" ht="29.25" customHeight="1">
      <c r="A274" s="34" t="s">
        <v>511</v>
      </c>
      <c r="B274" s="2" t="s">
        <v>363</v>
      </c>
      <c r="C274" s="88" t="s">
        <v>603</v>
      </c>
      <c r="D274" s="6" t="s">
        <v>510</v>
      </c>
      <c r="E274" s="30">
        <f>2314-3.9-2000-1.2-0.9+2000-594.5-41.5+2300-5.9</f>
        <v>3966.1</v>
      </c>
      <c r="F274" s="2"/>
    </row>
    <row r="275" spans="1:6" s="22" customFormat="1" ht="17.25" customHeight="1">
      <c r="A275" s="34" t="s">
        <v>513</v>
      </c>
      <c r="B275" s="2" t="s">
        <v>363</v>
      </c>
      <c r="C275" s="88" t="s">
        <v>603</v>
      </c>
      <c r="D275" s="6" t="s">
        <v>512</v>
      </c>
      <c r="E275" s="30">
        <f>E276</f>
        <v>52.199999999999996</v>
      </c>
      <c r="F275" s="2"/>
    </row>
    <row r="276" spans="1:6" s="22" customFormat="1" ht="18.75" customHeight="1">
      <c r="A276" s="118" t="s">
        <v>532</v>
      </c>
      <c r="B276" s="2" t="s">
        <v>363</v>
      </c>
      <c r="C276" s="88" t="s">
        <v>603</v>
      </c>
      <c r="D276" s="6" t="s">
        <v>531</v>
      </c>
      <c r="E276" s="30">
        <f>3.9+0.9+41.5+5.9</f>
        <v>52.199999999999996</v>
      </c>
      <c r="F276" s="2"/>
    </row>
    <row r="277" spans="1:6" s="22" customFormat="1" ht="20.25" customHeight="1">
      <c r="A277" s="118" t="s">
        <v>48</v>
      </c>
      <c r="B277" s="2" t="s">
        <v>363</v>
      </c>
      <c r="C277" s="88" t="s">
        <v>604</v>
      </c>
      <c r="D277" s="6" t="s">
        <v>335</v>
      </c>
      <c r="E277" s="30">
        <f>E278</f>
        <v>2000</v>
      </c>
      <c r="F277" s="2"/>
    </row>
    <row r="278" spans="1:6" s="22" customFormat="1" ht="22.5" customHeight="1">
      <c r="A278" s="118" t="s">
        <v>509</v>
      </c>
      <c r="B278" s="2" t="s">
        <v>363</v>
      </c>
      <c r="C278" s="88" t="s">
        <v>604</v>
      </c>
      <c r="D278" s="6" t="s">
        <v>508</v>
      </c>
      <c r="E278" s="30">
        <f>E279</f>
        <v>2000</v>
      </c>
      <c r="F278" s="2"/>
    </row>
    <row r="279" spans="1:6" s="22" customFormat="1" ht="30" customHeight="1">
      <c r="A279" s="118" t="s">
        <v>511</v>
      </c>
      <c r="B279" s="2" t="s">
        <v>363</v>
      </c>
      <c r="C279" s="88" t="s">
        <v>604</v>
      </c>
      <c r="D279" s="6" t="s">
        <v>510</v>
      </c>
      <c r="E279" s="30">
        <f>2000</f>
        <v>2000</v>
      </c>
      <c r="F279" s="2"/>
    </row>
    <row r="280" spans="1:6" s="22" customFormat="1" ht="29.25" customHeight="1">
      <c r="A280" s="121" t="s">
        <v>167</v>
      </c>
      <c r="B280" s="2" t="s">
        <v>363</v>
      </c>
      <c r="C280" s="106" t="s">
        <v>442</v>
      </c>
      <c r="D280" s="1" t="s">
        <v>335</v>
      </c>
      <c r="E280" s="24">
        <f>E281+E283</f>
        <v>782.6999999999999</v>
      </c>
      <c r="F280" s="2"/>
    </row>
    <row r="281" spans="1:6" s="22" customFormat="1" ht="20.25" customHeight="1">
      <c r="A281" s="34" t="s">
        <v>509</v>
      </c>
      <c r="B281" s="2" t="s">
        <v>363</v>
      </c>
      <c r="C281" s="88" t="s">
        <v>49</v>
      </c>
      <c r="D281" s="6" t="s">
        <v>508</v>
      </c>
      <c r="E281" s="30">
        <f>E282</f>
        <v>566.8</v>
      </c>
      <c r="F281" s="2"/>
    </row>
    <row r="282" spans="1:6" s="22" customFormat="1" ht="29.25" customHeight="1">
      <c r="A282" s="34" t="s">
        <v>511</v>
      </c>
      <c r="B282" s="2" t="s">
        <v>363</v>
      </c>
      <c r="C282" s="88" t="s">
        <v>49</v>
      </c>
      <c r="D282" s="6" t="s">
        <v>510</v>
      </c>
      <c r="E282" s="30">
        <f>830-263.2</f>
        <v>566.8</v>
      </c>
      <c r="F282" s="2"/>
    </row>
    <row r="283" spans="1:6" s="22" customFormat="1" ht="42" customHeight="1">
      <c r="A283" s="34" t="s">
        <v>261</v>
      </c>
      <c r="B283" s="2" t="s">
        <v>363</v>
      </c>
      <c r="C283" s="126" t="s">
        <v>173</v>
      </c>
      <c r="D283" s="6" t="s">
        <v>335</v>
      </c>
      <c r="E283" s="30">
        <f>E284</f>
        <v>215.89999999999998</v>
      </c>
      <c r="F283" s="2"/>
    </row>
    <row r="284" spans="1:6" s="22" customFormat="1" ht="22.5" customHeight="1">
      <c r="A284" s="34" t="s">
        <v>171</v>
      </c>
      <c r="B284" s="2" t="s">
        <v>363</v>
      </c>
      <c r="C284" s="126" t="s">
        <v>173</v>
      </c>
      <c r="D284" s="6" t="s">
        <v>600</v>
      </c>
      <c r="E284" s="30">
        <f>E285</f>
        <v>215.89999999999998</v>
      </c>
      <c r="F284" s="2"/>
    </row>
    <row r="285" spans="1:6" s="22" customFormat="1" ht="18.75" customHeight="1">
      <c r="A285" s="34" t="s">
        <v>422</v>
      </c>
      <c r="B285" s="2" t="s">
        <v>363</v>
      </c>
      <c r="C285" s="126" t="s">
        <v>173</v>
      </c>
      <c r="D285" s="6" t="s">
        <v>421</v>
      </c>
      <c r="E285" s="30">
        <f>263.2-47.3</f>
        <v>215.89999999999998</v>
      </c>
      <c r="F285" s="2"/>
    </row>
    <row r="286" spans="1:6" s="22" customFormat="1" ht="77.25" customHeight="1">
      <c r="A286" s="33" t="s">
        <v>76</v>
      </c>
      <c r="B286" s="2" t="s">
        <v>363</v>
      </c>
      <c r="C286" s="2" t="s">
        <v>191</v>
      </c>
      <c r="D286" s="2" t="s">
        <v>335</v>
      </c>
      <c r="E286" s="27">
        <f>E287</f>
        <v>800</v>
      </c>
      <c r="F286" s="27"/>
    </row>
    <row r="287" spans="1:6" s="22" customFormat="1" ht="21" customHeight="1">
      <c r="A287" s="34" t="s">
        <v>509</v>
      </c>
      <c r="B287" s="2" t="s">
        <v>363</v>
      </c>
      <c r="C287" s="2" t="s">
        <v>577</v>
      </c>
      <c r="D287" s="6" t="s">
        <v>508</v>
      </c>
      <c r="E287" s="27">
        <f>E288</f>
        <v>800</v>
      </c>
      <c r="F287" s="27"/>
    </row>
    <row r="288" spans="1:6" s="22" customFormat="1" ht="29.25" customHeight="1">
      <c r="A288" s="34" t="s">
        <v>511</v>
      </c>
      <c r="B288" s="2" t="s">
        <v>363</v>
      </c>
      <c r="C288" s="2" t="s">
        <v>577</v>
      </c>
      <c r="D288" s="6" t="s">
        <v>510</v>
      </c>
      <c r="E288" s="27">
        <f>500+100+200</f>
        <v>800</v>
      </c>
      <c r="F288" s="27"/>
    </row>
    <row r="289" spans="1:6" s="67" customFormat="1" ht="18" customHeight="1">
      <c r="A289" s="68" t="s">
        <v>364</v>
      </c>
      <c r="B289" s="58" t="s">
        <v>365</v>
      </c>
      <c r="C289" s="58" t="s">
        <v>358</v>
      </c>
      <c r="D289" s="58" t="s">
        <v>335</v>
      </c>
      <c r="E289" s="55">
        <f>E290+E310+E297</f>
        <v>140898</v>
      </c>
      <c r="F289" s="55">
        <f>F290+F310+F297</f>
        <v>24933.9</v>
      </c>
    </row>
    <row r="290" spans="1:6" s="22" customFormat="1" ht="17.25" customHeight="1">
      <c r="A290" s="16" t="s">
        <v>394</v>
      </c>
      <c r="B290" s="2" t="s">
        <v>395</v>
      </c>
      <c r="C290" s="2" t="s">
        <v>358</v>
      </c>
      <c r="D290" s="2" t="s">
        <v>335</v>
      </c>
      <c r="E290" s="24">
        <f>E292</f>
        <v>37543.6</v>
      </c>
      <c r="F290" s="24">
        <f>F292</f>
        <v>0</v>
      </c>
    </row>
    <row r="291" spans="1:6" s="22" customFormat="1" ht="53.25" customHeight="1">
      <c r="A291" s="116" t="s">
        <v>83</v>
      </c>
      <c r="B291" s="2" t="s">
        <v>395</v>
      </c>
      <c r="C291" s="2" t="s">
        <v>166</v>
      </c>
      <c r="D291" s="2" t="s">
        <v>335</v>
      </c>
      <c r="E291" s="24">
        <f>E292</f>
        <v>37543.6</v>
      </c>
      <c r="F291" s="24"/>
    </row>
    <row r="292" spans="1:6" s="22" customFormat="1" ht="51.75" customHeight="1">
      <c r="A292" s="119" t="s">
        <v>411</v>
      </c>
      <c r="B292" s="2" t="s">
        <v>395</v>
      </c>
      <c r="C292" s="2" t="s">
        <v>102</v>
      </c>
      <c r="D292" s="2" t="s">
        <v>335</v>
      </c>
      <c r="E292" s="24">
        <f>E293+E295</f>
        <v>37543.6</v>
      </c>
      <c r="F292" s="24"/>
    </row>
    <row r="293" spans="1:6" s="22" customFormat="1" ht="18.75" customHeight="1">
      <c r="A293" s="34" t="s">
        <v>509</v>
      </c>
      <c r="B293" s="5" t="s">
        <v>395</v>
      </c>
      <c r="C293" s="5" t="s">
        <v>102</v>
      </c>
      <c r="D293" s="5" t="s">
        <v>508</v>
      </c>
      <c r="E293" s="30">
        <f>E294</f>
        <v>36971.299999999996</v>
      </c>
      <c r="F293" s="30"/>
    </row>
    <row r="294" spans="1:6" s="22" customFormat="1" ht="26.25" customHeight="1">
      <c r="A294" s="118" t="s">
        <v>511</v>
      </c>
      <c r="B294" s="2" t="s">
        <v>395</v>
      </c>
      <c r="C294" s="2" t="s">
        <v>102</v>
      </c>
      <c r="D294" s="2" t="s">
        <v>510</v>
      </c>
      <c r="E294" s="24">
        <f>22500+9138+232.7+5840.9-260.3-480</f>
        <v>36971.299999999996</v>
      </c>
      <c r="F294" s="24"/>
    </row>
    <row r="295" spans="1:6" s="22" customFormat="1" ht="19.5" customHeight="1">
      <c r="A295" s="34" t="s">
        <v>513</v>
      </c>
      <c r="B295" s="5" t="s">
        <v>395</v>
      </c>
      <c r="C295" s="5" t="s">
        <v>102</v>
      </c>
      <c r="D295" s="5" t="s">
        <v>512</v>
      </c>
      <c r="E295" s="30">
        <f>E296</f>
        <v>572.3</v>
      </c>
      <c r="F295" s="30"/>
    </row>
    <row r="296" spans="1:6" s="22" customFormat="1" ht="20.25" customHeight="1">
      <c r="A296" s="34" t="s">
        <v>541</v>
      </c>
      <c r="B296" s="5" t="s">
        <v>395</v>
      </c>
      <c r="C296" s="5" t="s">
        <v>102</v>
      </c>
      <c r="D296" s="5" t="s">
        <v>540</v>
      </c>
      <c r="E296" s="30">
        <f>15783.9-9138-5840.9-232.7</f>
        <v>572.3</v>
      </c>
      <c r="F296" s="30"/>
    </row>
    <row r="297" spans="1:6" s="22" customFormat="1" ht="18.75" customHeight="1">
      <c r="A297" s="34" t="s">
        <v>106</v>
      </c>
      <c r="B297" s="5" t="s">
        <v>105</v>
      </c>
      <c r="C297" s="5" t="s">
        <v>166</v>
      </c>
      <c r="D297" s="5" t="s">
        <v>335</v>
      </c>
      <c r="E297" s="30">
        <f>E298</f>
        <v>49165</v>
      </c>
      <c r="F297" s="30">
        <f>F298+F304</f>
        <v>7043.900000000001</v>
      </c>
    </row>
    <row r="298" spans="1:6" s="22" customFormat="1" ht="53.25" customHeight="1">
      <c r="A298" s="74" t="s">
        <v>83</v>
      </c>
      <c r="B298" s="5" t="s">
        <v>105</v>
      </c>
      <c r="C298" s="5" t="s">
        <v>166</v>
      </c>
      <c r="D298" s="5" t="s">
        <v>335</v>
      </c>
      <c r="E298" s="30">
        <f>E299+E301+E304+E307</f>
        <v>49165</v>
      </c>
      <c r="F298" s="30">
        <f>F299+F301</f>
        <v>7043.900000000001</v>
      </c>
    </row>
    <row r="299" spans="1:6" s="22" customFormat="1" ht="19.5" customHeight="1">
      <c r="A299" s="118" t="s">
        <v>509</v>
      </c>
      <c r="B299" s="2" t="s">
        <v>105</v>
      </c>
      <c r="C299" s="2" t="s">
        <v>102</v>
      </c>
      <c r="D299" s="2" t="s">
        <v>508</v>
      </c>
      <c r="E299" s="24">
        <f>E300</f>
        <v>99.99999999999727</v>
      </c>
      <c r="F299" s="24"/>
    </row>
    <row r="300" spans="1:6" s="22" customFormat="1" ht="27.75" customHeight="1">
      <c r="A300" s="118" t="s">
        <v>511</v>
      </c>
      <c r="B300" s="2" t="s">
        <v>105</v>
      </c>
      <c r="C300" s="2" t="s">
        <v>102</v>
      </c>
      <c r="D300" s="2" t="s">
        <v>510</v>
      </c>
      <c r="E300" s="24">
        <f>59263.7-31014-4939.8-2921.7-262-33.4-595.6-4039.5-2558.3-1077.2-1750.4-2019.8-4114.2+100-3937.8</f>
        <v>99.99999999999727</v>
      </c>
      <c r="F300" s="24"/>
    </row>
    <row r="301" spans="1:6" s="22" customFormat="1" ht="65.25" customHeight="1">
      <c r="A301" s="118" t="s">
        <v>327</v>
      </c>
      <c r="B301" s="2" t="s">
        <v>105</v>
      </c>
      <c r="C301" s="2" t="s">
        <v>328</v>
      </c>
      <c r="D301" s="2" t="s">
        <v>335</v>
      </c>
      <c r="E301" s="24">
        <f>E302</f>
        <v>7043.900000000001</v>
      </c>
      <c r="F301" s="24">
        <f>F302</f>
        <v>7043.900000000001</v>
      </c>
    </row>
    <row r="302" spans="1:6" s="22" customFormat="1" ht="24.75" customHeight="1">
      <c r="A302" s="34" t="s">
        <v>171</v>
      </c>
      <c r="B302" s="2" t="s">
        <v>105</v>
      </c>
      <c r="C302" s="2" t="s">
        <v>328</v>
      </c>
      <c r="D302" s="2" t="s">
        <v>600</v>
      </c>
      <c r="E302" s="24">
        <f>E303</f>
        <v>7043.900000000001</v>
      </c>
      <c r="F302" s="24">
        <f>F303</f>
        <v>7043.900000000001</v>
      </c>
    </row>
    <row r="303" spans="1:6" s="22" customFormat="1" ht="27.75" customHeight="1">
      <c r="A303" s="34" t="s">
        <v>422</v>
      </c>
      <c r="B303" s="2" t="s">
        <v>105</v>
      </c>
      <c r="C303" s="2" t="s">
        <v>328</v>
      </c>
      <c r="D303" s="2" t="s">
        <v>421</v>
      </c>
      <c r="E303" s="24">
        <f>8078.6-1034.7</f>
        <v>7043.900000000001</v>
      </c>
      <c r="F303" s="24">
        <f>E303</f>
        <v>7043.900000000001</v>
      </c>
    </row>
    <row r="304" spans="1:6" s="22" customFormat="1" ht="42.75" customHeight="1">
      <c r="A304" s="118" t="s">
        <v>262</v>
      </c>
      <c r="B304" s="2" t="s">
        <v>105</v>
      </c>
      <c r="C304" s="2" t="s">
        <v>178</v>
      </c>
      <c r="D304" s="2" t="s">
        <v>335</v>
      </c>
      <c r="E304" s="24">
        <f>E305</f>
        <v>41021.100000000006</v>
      </c>
      <c r="F304" s="24"/>
    </row>
    <row r="305" spans="1:6" s="22" customFormat="1" ht="26.25" customHeight="1">
      <c r="A305" s="34" t="s">
        <v>171</v>
      </c>
      <c r="B305" s="5" t="s">
        <v>105</v>
      </c>
      <c r="C305" s="5" t="s">
        <v>178</v>
      </c>
      <c r="D305" s="5" t="s">
        <v>600</v>
      </c>
      <c r="E305" s="30">
        <f>E306</f>
        <v>41021.100000000006</v>
      </c>
      <c r="F305" s="30"/>
    </row>
    <row r="306" spans="1:6" s="22" customFormat="1" ht="19.5" customHeight="1">
      <c r="A306" s="34" t="s">
        <v>422</v>
      </c>
      <c r="B306" s="5" t="s">
        <v>105</v>
      </c>
      <c r="C306" s="5" t="s">
        <v>178</v>
      </c>
      <c r="D306" s="5" t="s">
        <v>421</v>
      </c>
      <c r="E306" s="30">
        <f>39171+443.1+56.9+500+350+260.3+239.8</f>
        <v>41021.100000000006</v>
      </c>
      <c r="F306" s="30"/>
    </row>
    <row r="307" spans="1:6" s="22" customFormat="1" ht="21.75" customHeight="1">
      <c r="A307" s="34" t="s">
        <v>226</v>
      </c>
      <c r="B307" s="5" t="s">
        <v>105</v>
      </c>
      <c r="C307" s="5" t="s">
        <v>225</v>
      </c>
      <c r="D307" s="5" t="s">
        <v>335</v>
      </c>
      <c r="E307" s="30">
        <f>E308</f>
        <v>1000</v>
      </c>
      <c r="F307" s="30"/>
    </row>
    <row r="308" spans="1:6" s="22" customFormat="1" ht="30.75" customHeight="1">
      <c r="A308" s="123" t="s">
        <v>536</v>
      </c>
      <c r="B308" s="2" t="s">
        <v>105</v>
      </c>
      <c r="C308" s="2" t="s">
        <v>225</v>
      </c>
      <c r="D308" s="2" t="s">
        <v>535</v>
      </c>
      <c r="E308" s="24">
        <f>E309</f>
        <v>1000</v>
      </c>
      <c r="F308" s="24"/>
    </row>
    <row r="309" spans="1:6" s="22" customFormat="1" ht="19.5" customHeight="1">
      <c r="A309" s="15" t="s">
        <v>534</v>
      </c>
      <c r="B309" s="5" t="s">
        <v>105</v>
      </c>
      <c r="C309" s="5" t="s">
        <v>225</v>
      </c>
      <c r="D309" s="5" t="s">
        <v>533</v>
      </c>
      <c r="E309" s="30">
        <v>1000</v>
      </c>
      <c r="F309" s="30"/>
    </row>
    <row r="310" spans="1:6" s="22" customFormat="1" ht="18" customHeight="1">
      <c r="A310" s="16" t="s">
        <v>387</v>
      </c>
      <c r="B310" s="2" t="s">
        <v>400</v>
      </c>
      <c r="C310" s="2" t="s">
        <v>358</v>
      </c>
      <c r="D310" s="2" t="s">
        <v>335</v>
      </c>
      <c r="E310" s="24">
        <f>E314+E318+E334+E337+E341+E362+E311</f>
        <v>54189.4</v>
      </c>
      <c r="F310" s="24">
        <f>F314+F318+F334+F337+F341+F362+F311</f>
        <v>17890</v>
      </c>
    </row>
    <row r="311" spans="1:6" s="22" customFormat="1" ht="54.75" customHeight="1">
      <c r="A311" s="41" t="s">
        <v>51</v>
      </c>
      <c r="B311" s="2" t="s">
        <v>400</v>
      </c>
      <c r="C311" s="5" t="s">
        <v>443</v>
      </c>
      <c r="D311" s="5" t="s">
        <v>335</v>
      </c>
      <c r="E311" s="30">
        <f>E312</f>
        <v>366</v>
      </c>
      <c r="F311" s="30"/>
    </row>
    <row r="312" spans="1:6" s="22" customFormat="1" ht="18" customHeight="1">
      <c r="A312" s="118" t="s">
        <v>509</v>
      </c>
      <c r="B312" s="2" t="s">
        <v>400</v>
      </c>
      <c r="C312" s="2" t="s">
        <v>52</v>
      </c>
      <c r="D312" s="2" t="s">
        <v>508</v>
      </c>
      <c r="E312" s="24">
        <f>E313</f>
        <v>366</v>
      </c>
      <c r="F312" s="24"/>
    </row>
    <row r="313" spans="1:6" s="22" customFormat="1" ht="26.25" customHeight="1">
      <c r="A313" s="118" t="s">
        <v>511</v>
      </c>
      <c r="B313" s="2" t="s">
        <v>400</v>
      </c>
      <c r="C313" s="2" t="s">
        <v>52</v>
      </c>
      <c r="D313" s="2" t="s">
        <v>510</v>
      </c>
      <c r="E313" s="24">
        <f>200+166</f>
        <v>366</v>
      </c>
      <c r="F313" s="24"/>
    </row>
    <row r="314" spans="1:6" s="22" customFormat="1" ht="54" customHeight="1">
      <c r="A314" s="74" t="s">
        <v>83</v>
      </c>
      <c r="B314" s="5" t="s">
        <v>400</v>
      </c>
      <c r="C314" s="5" t="s">
        <v>166</v>
      </c>
      <c r="D314" s="5" t="s">
        <v>335</v>
      </c>
      <c r="E314" s="30">
        <f>E315</f>
        <v>923.8</v>
      </c>
      <c r="F314" s="30"/>
    </row>
    <row r="315" spans="1:6" s="22" customFormat="1" ht="29.25" customHeight="1">
      <c r="A315" s="34" t="s">
        <v>103</v>
      </c>
      <c r="B315" s="5" t="s">
        <v>400</v>
      </c>
      <c r="C315" s="5" t="s">
        <v>102</v>
      </c>
      <c r="D315" s="5" t="s">
        <v>335</v>
      </c>
      <c r="E315" s="30">
        <f>E316</f>
        <v>923.8</v>
      </c>
      <c r="F315" s="30"/>
    </row>
    <row r="316" spans="1:6" s="22" customFormat="1" ht="22.5" customHeight="1">
      <c r="A316" s="34" t="s">
        <v>509</v>
      </c>
      <c r="B316" s="5" t="s">
        <v>400</v>
      </c>
      <c r="C316" s="5" t="s">
        <v>102</v>
      </c>
      <c r="D316" s="5" t="s">
        <v>508</v>
      </c>
      <c r="E316" s="30">
        <f>E317</f>
        <v>923.8</v>
      </c>
      <c r="F316" s="30"/>
    </row>
    <row r="317" spans="1:6" s="22" customFormat="1" ht="27" customHeight="1">
      <c r="A317" s="34" t="s">
        <v>511</v>
      </c>
      <c r="B317" s="5" t="s">
        <v>400</v>
      </c>
      <c r="C317" s="5" t="s">
        <v>102</v>
      </c>
      <c r="D317" s="5" t="s">
        <v>510</v>
      </c>
      <c r="E317" s="30">
        <v>923.8</v>
      </c>
      <c r="F317" s="30"/>
    </row>
    <row r="318" spans="1:6" s="22" customFormat="1" ht="42" customHeight="1">
      <c r="A318" s="74" t="s">
        <v>85</v>
      </c>
      <c r="B318" s="5" t="s">
        <v>400</v>
      </c>
      <c r="C318" s="5" t="s">
        <v>89</v>
      </c>
      <c r="D318" s="5" t="s">
        <v>335</v>
      </c>
      <c r="E318" s="30">
        <f>E319+E322+E325+E328+E333</f>
        <v>11926.6</v>
      </c>
      <c r="F318" s="30"/>
    </row>
    <row r="319" spans="1:6" s="22" customFormat="1" ht="30" customHeight="1">
      <c r="A319" s="74" t="s">
        <v>137</v>
      </c>
      <c r="B319" s="5" t="s">
        <v>400</v>
      </c>
      <c r="C319" s="5" t="s">
        <v>220</v>
      </c>
      <c r="D319" s="5" t="s">
        <v>335</v>
      </c>
      <c r="E319" s="30">
        <f>E320</f>
        <v>2942</v>
      </c>
      <c r="F319" s="30"/>
    </row>
    <row r="320" spans="1:6" s="22" customFormat="1" ht="21" customHeight="1">
      <c r="A320" s="118" t="s">
        <v>509</v>
      </c>
      <c r="B320" s="2" t="s">
        <v>400</v>
      </c>
      <c r="C320" s="2" t="s">
        <v>220</v>
      </c>
      <c r="D320" s="2" t="s">
        <v>508</v>
      </c>
      <c r="E320" s="24">
        <f>E321</f>
        <v>2942</v>
      </c>
      <c r="F320" s="24"/>
    </row>
    <row r="321" spans="1:6" s="22" customFormat="1" ht="26.25" customHeight="1">
      <c r="A321" s="34" t="s">
        <v>511</v>
      </c>
      <c r="B321" s="5" t="s">
        <v>400</v>
      </c>
      <c r="C321" s="5" t="s">
        <v>220</v>
      </c>
      <c r="D321" s="5" t="s">
        <v>510</v>
      </c>
      <c r="E321" s="30">
        <f>2900+42</f>
        <v>2942</v>
      </c>
      <c r="F321" s="30"/>
    </row>
    <row r="322" spans="1:6" s="22" customFormat="1" ht="24" customHeight="1">
      <c r="A322" s="34" t="s">
        <v>138</v>
      </c>
      <c r="B322" s="5" t="s">
        <v>400</v>
      </c>
      <c r="C322" s="5" t="s">
        <v>221</v>
      </c>
      <c r="D322" s="5" t="s">
        <v>335</v>
      </c>
      <c r="E322" s="30">
        <f>E323</f>
        <v>11.600000000000023</v>
      </c>
      <c r="F322" s="30"/>
    </row>
    <row r="323" spans="1:6" s="22" customFormat="1" ht="21" customHeight="1">
      <c r="A323" s="34" t="s">
        <v>509</v>
      </c>
      <c r="B323" s="5" t="s">
        <v>400</v>
      </c>
      <c r="C323" s="5" t="s">
        <v>221</v>
      </c>
      <c r="D323" s="5" t="s">
        <v>508</v>
      </c>
      <c r="E323" s="30">
        <f>E324</f>
        <v>11.600000000000023</v>
      </c>
      <c r="F323" s="30"/>
    </row>
    <row r="324" spans="1:6" s="22" customFormat="1" ht="28.5" customHeight="1">
      <c r="A324" s="34" t="s">
        <v>511</v>
      </c>
      <c r="B324" s="5" t="s">
        <v>400</v>
      </c>
      <c r="C324" s="5" t="s">
        <v>221</v>
      </c>
      <c r="D324" s="5" t="s">
        <v>510</v>
      </c>
      <c r="E324" s="30">
        <f>611.6-600</f>
        <v>11.600000000000023</v>
      </c>
      <c r="F324" s="30"/>
    </row>
    <row r="325" spans="1:6" s="22" customFormat="1" ht="21.75" customHeight="1">
      <c r="A325" s="34" t="s">
        <v>222</v>
      </c>
      <c r="B325" s="5" t="s">
        <v>400</v>
      </c>
      <c r="C325" s="5" t="s">
        <v>223</v>
      </c>
      <c r="D325" s="5" t="s">
        <v>335</v>
      </c>
      <c r="E325" s="30">
        <f>E326</f>
        <v>4000</v>
      </c>
      <c r="F325" s="30"/>
    </row>
    <row r="326" spans="1:6" s="22" customFormat="1" ht="27.75" customHeight="1">
      <c r="A326" s="35" t="s">
        <v>536</v>
      </c>
      <c r="B326" s="5" t="s">
        <v>400</v>
      </c>
      <c r="C326" s="5" t="s">
        <v>223</v>
      </c>
      <c r="D326" s="5" t="s">
        <v>535</v>
      </c>
      <c r="E326" s="30">
        <f>E327</f>
        <v>4000</v>
      </c>
      <c r="F326" s="30"/>
    </row>
    <row r="327" spans="1:6" s="22" customFormat="1" ht="18.75" customHeight="1">
      <c r="A327" s="15" t="s">
        <v>534</v>
      </c>
      <c r="B327" s="5" t="s">
        <v>400</v>
      </c>
      <c r="C327" s="5" t="s">
        <v>223</v>
      </c>
      <c r="D327" s="5" t="s">
        <v>533</v>
      </c>
      <c r="E327" s="30">
        <f>4000</f>
        <v>4000</v>
      </c>
      <c r="F327" s="30"/>
    </row>
    <row r="328" spans="1:6" s="22" customFormat="1" ht="25.5" customHeight="1">
      <c r="A328" s="34" t="s">
        <v>227</v>
      </c>
      <c r="B328" s="5" t="s">
        <v>400</v>
      </c>
      <c r="C328" s="5" t="s">
        <v>224</v>
      </c>
      <c r="D328" s="5" t="s">
        <v>335</v>
      </c>
      <c r="E328" s="30">
        <f>E329</f>
        <v>4226</v>
      </c>
      <c r="F328" s="30"/>
    </row>
    <row r="329" spans="1:6" s="22" customFormat="1" ht="21.75" customHeight="1">
      <c r="A329" s="34" t="s">
        <v>509</v>
      </c>
      <c r="B329" s="5" t="s">
        <v>400</v>
      </c>
      <c r="C329" s="5" t="s">
        <v>224</v>
      </c>
      <c r="D329" s="5" t="s">
        <v>508</v>
      </c>
      <c r="E329" s="30">
        <f>E330</f>
        <v>4226</v>
      </c>
      <c r="F329" s="30"/>
    </row>
    <row r="330" spans="1:6" s="22" customFormat="1" ht="28.5" customHeight="1">
      <c r="A330" s="34" t="s">
        <v>511</v>
      </c>
      <c r="B330" s="5" t="s">
        <v>400</v>
      </c>
      <c r="C330" s="5" t="s">
        <v>224</v>
      </c>
      <c r="D330" s="5" t="s">
        <v>510</v>
      </c>
      <c r="E330" s="30">
        <f>4127+99</f>
        <v>4226</v>
      </c>
      <c r="F330" s="30"/>
    </row>
    <row r="331" spans="1:6" s="22" customFormat="1" ht="28.5" customHeight="1">
      <c r="A331" s="34" t="s">
        <v>229</v>
      </c>
      <c r="B331" s="5" t="s">
        <v>400</v>
      </c>
      <c r="C331" s="5" t="s">
        <v>228</v>
      </c>
      <c r="D331" s="5" t="s">
        <v>335</v>
      </c>
      <c r="E331" s="30">
        <f>E332</f>
        <v>747</v>
      </c>
      <c r="F331" s="30"/>
    </row>
    <row r="332" spans="1:6" s="22" customFormat="1" ht="23.25" customHeight="1">
      <c r="A332" s="34" t="s">
        <v>509</v>
      </c>
      <c r="B332" s="5" t="s">
        <v>400</v>
      </c>
      <c r="C332" s="5" t="s">
        <v>228</v>
      </c>
      <c r="D332" s="5" t="s">
        <v>508</v>
      </c>
      <c r="E332" s="30">
        <f>E333</f>
        <v>747</v>
      </c>
      <c r="F332" s="30"/>
    </row>
    <row r="333" spans="1:6" s="22" customFormat="1" ht="28.5" customHeight="1">
      <c r="A333" s="34" t="s">
        <v>511</v>
      </c>
      <c r="B333" s="5" t="s">
        <v>400</v>
      </c>
      <c r="C333" s="5" t="s">
        <v>228</v>
      </c>
      <c r="D333" s="5" t="s">
        <v>510</v>
      </c>
      <c r="E333" s="30">
        <f>888-42-99</f>
        <v>747</v>
      </c>
      <c r="F333" s="30"/>
    </row>
    <row r="334" spans="1:6" s="22" customFormat="1" ht="42" customHeight="1">
      <c r="A334" s="74" t="s">
        <v>86</v>
      </c>
      <c r="B334" s="5" t="s">
        <v>400</v>
      </c>
      <c r="C334" s="5" t="s">
        <v>444</v>
      </c>
      <c r="D334" s="5" t="s">
        <v>335</v>
      </c>
      <c r="E334" s="30">
        <f>E335</f>
        <v>1634</v>
      </c>
      <c r="F334" s="30"/>
    </row>
    <row r="335" spans="1:6" s="22" customFormat="1" ht="24" customHeight="1">
      <c r="A335" s="118" t="s">
        <v>509</v>
      </c>
      <c r="B335" s="2" t="s">
        <v>400</v>
      </c>
      <c r="C335" s="2" t="s">
        <v>104</v>
      </c>
      <c r="D335" s="2" t="s">
        <v>508</v>
      </c>
      <c r="E335" s="24">
        <f>E336</f>
        <v>1634</v>
      </c>
      <c r="F335" s="24"/>
    </row>
    <row r="336" spans="1:6" s="22" customFormat="1" ht="30" customHeight="1">
      <c r="A336" s="34" t="s">
        <v>511</v>
      </c>
      <c r="B336" s="5" t="s">
        <v>400</v>
      </c>
      <c r="C336" s="5" t="s">
        <v>104</v>
      </c>
      <c r="D336" s="5" t="s">
        <v>510</v>
      </c>
      <c r="E336" s="30">
        <f>2000-200-166</f>
        <v>1634</v>
      </c>
      <c r="F336" s="30"/>
    </row>
    <row r="337" spans="1:6" s="22" customFormat="1" ht="30" customHeight="1">
      <c r="A337" s="13" t="s">
        <v>623</v>
      </c>
      <c r="B337" s="37" t="s">
        <v>400</v>
      </c>
      <c r="C337" s="2" t="s">
        <v>445</v>
      </c>
      <c r="D337" s="37" t="s">
        <v>335</v>
      </c>
      <c r="E337" s="78">
        <f>E338</f>
        <v>9279.900000000001</v>
      </c>
      <c r="F337" s="30"/>
    </row>
    <row r="338" spans="1:6" s="22" customFormat="1" ht="19.5" customHeight="1">
      <c r="A338" s="35" t="s">
        <v>326</v>
      </c>
      <c r="B338" s="37" t="s">
        <v>400</v>
      </c>
      <c r="C338" s="2" t="s">
        <v>574</v>
      </c>
      <c r="D338" s="37" t="s">
        <v>335</v>
      </c>
      <c r="E338" s="78">
        <f>E339</f>
        <v>9279.900000000001</v>
      </c>
      <c r="F338" s="30"/>
    </row>
    <row r="339" spans="1:6" s="22" customFormat="1" ht="27" customHeight="1">
      <c r="A339" s="35" t="s">
        <v>536</v>
      </c>
      <c r="B339" s="37" t="s">
        <v>400</v>
      </c>
      <c r="C339" s="2" t="s">
        <v>574</v>
      </c>
      <c r="D339" s="37" t="s">
        <v>535</v>
      </c>
      <c r="E339" s="78">
        <f>E340</f>
        <v>9279.900000000001</v>
      </c>
      <c r="F339" s="30"/>
    </row>
    <row r="340" spans="1:6" s="22" customFormat="1" ht="21" customHeight="1">
      <c r="A340" s="117" t="s">
        <v>534</v>
      </c>
      <c r="B340" s="32" t="s">
        <v>400</v>
      </c>
      <c r="C340" s="2" t="s">
        <v>574</v>
      </c>
      <c r="D340" s="32" t="s">
        <v>533</v>
      </c>
      <c r="E340" s="79">
        <f>9516-475.8+239.7</f>
        <v>9279.900000000001</v>
      </c>
      <c r="F340" s="24"/>
    </row>
    <row r="341" spans="1:6" s="22" customFormat="1" ht="54" customHeight="1">
      <c r="A341" s="74" t="s">
        <v>77</v>
      </c>
      <c r="B341" s="5" t="s">
        <v>400</v>
      </c>
      <c r="C341" s="37" t="s">
        <v>446</v>
      </c>
      <c r="D341" s="5" t="s">
        <v>335</v>
      </c>
      <c r="E341" s="29">
        <f>E342+E354+E352+E359+E356+E349</f>
        <v>30054.1</v>
      </c>
      <c r="F341" s="29">
        <f>F342+F354+F352+F359+F356</f>
        <v>17890</v>
      </c>
    </row>
    <row r="342" spans="1:6" s="22" customFormat="1" ht="30" customHeight="1">
      <c r="A342" s="119" t="s">
        <v>537</v>
      </c>
      <c r="B342" s="2" t="s">
        <v>400</v>
      </c>
      <c r="C342" s="32" t="s">
        <v>610</v>
      </c>
      <c r="D342" s="2" t="s">
        <v>335</v>
      </c>
      <c r="E342" s="27">
        <f>E343+E345+E347</f>
        <v>4395.3</v>
      </c>
      <c r="F342" s="27"/>
    </row>
    <row r="343" spans="1:6" s="22" customFormat="1" ht="67.5" customHeight="1">
      <c r="A343" s="21" t="s">
        <v>522</v>
      </c>
      <c r="B343" s="5" t="s">
        <v>400</v>
      </c>
      <c r="C343" s="37" t="s">
        <v>610</v>
      </c>
      <c r="D343" s="5" t="s">
        <v>514</v>
      </c>
      <c r="E343" s="29">
        <f>E344</f>
        <v>3408.8</v>
      </c>
      <c r="F343" s="29"/>
    </row>
    <row r="344" spans="1:6" s="22" customFormat="1" ht="18" customHeight="1">
      <c r="A344" s="20" t="s">
        <v>530</v>
      </c>
      <c r="B344" s="2" t="s">
        <v>400</v>
      </c>
      <c r="C344" s="32" t="s">
        <v>610</v>
      </c>
      <c r="D344" s="2" t="s">
        <v>523</v>
      </c>
      <c r="E344" s="27">
        <f>2750.5+502.4+44-30+141.9</f>
        <v>3408.8</v>
      </c>
      <c r="F344" s="27"/>
    </row>
    <row r="345" spans="1:6" s="22" customFormat="1" ht="18.75" customHeight="1">
      <c r="A345" s="34" t="s">
        <v>509</v>
      </c>
      <c r="B345" s="5" t="s">
        <v>400</v>
      </c>
      <c r="C345" s="37" t="s">
        <v>610</v>
      </c>
      <c r="D345" s="5" t="s">
        <v>508</v>
      </c>
      <c r="E345" s="29">
        <f>E346</f>
        <v>959.3</v>
      </c>
      <c r="F345" s="29"/>
    </row>
    <row r="346" spans="1:6" s="22" customFormat="1" ht="28.5" customHeight="1">
      <c r="A346" s="118" t="s">
        <v>511</v>
      </c>
      <c r="B346" s="2" t="s">
        <v>400</v>
      </c>
      <c r="C346" s="32" t="s">
        <v>610</v>
      </c>
      <c r="D346" s="2" t="s">
        <v>510</v>
      </c>
      <c r="E346" s="27">
        <f>1030.5-16.6-22.1-1.8+16.6-0.7-46.6</f>
        <v>959.3</v>
      </c>
      <c r="F346" s="27"/>
    </row>
    <row r="347" spans="1:6" s="22" customFormat="1" ht="19.5" customHeight="1">
      <c r="A347" s="34" t="s">
        <v>513</v>
      </c>
      <c r="B347" s="2" t="s">
        <v>400</v>
      </c>
      <c r="C347" s="32" t="s">
        <v>610</v>
      </c>
      <c r="D347" s="5" t="s">
        <v>512</v>
      </c>
      <c r="E347" s="29">
        <f>E348</f>
        <v>27.2</v>
      </c>
      <c r="F347" s="29"/>
    </row>
    <row r="348" spans="1:6" s="22" customFormat="1" ht="19.5" customHeight="1">
      <c r="A348" s="118" t="s">
        <v>532</v>
      </c>
      <c r="B348" s="2" t="s">
        <v>400</v>
      </c>
      <c r="C348" s="32" t="s">
        <v>610</v>
      </c>
      <c r="D348" s="2" t="s">
        <v>531</v>
      </c>
      <c r="E348" s="27">
        <f>16.6+22.1+1.8-16.6+0.7+2.6</f>
        <v>27.2</v>
      </c>
      <c r="F348" s="27"/>
    </row>
    <row r="349" spans="1:6" s="22" customFormat="1" ht="40.5" customHeight="1">
      <c r="A349" s="118" t="s">
        <v>19</v>
      </c>
      <c r="B349" s="2" t="s">
        <v>400</v>
      </c>
      <c r="C349" s="32" t="s">
        <v>18</v>
      </c>
      <c r="D349" s="5" t="s">
        <v>335</v>
      </c>
      <c r="E349" s="29">
        <f>E350</f>
        <v>3473.8</v>
      </c>
      <c r="F349" s="29"/>
    </row>
    <row r="350" spans="1:6" s="22" customFormat="1" ht="26.25" customHeight="1">
      <c r="A350" s="34" t="s">
        <v>509</v>
      </c>
      <c r="B350" s="2" t="s">
        <v>400</v>
      </c>
      <c r="C350" s="32" t="s">
        <v>18</v>
      </c>
      <c r="D350" s="5" t="s">
        <v>508</v>
      </c>
      <c r="E350" s="29">
        <f>E351</f>
        <v>3473.8</v>
      </c>
      <c r="F350" s="29"/>
    </row>
    <row r="351" spans="1:6" s="22" customFormat="1" ht="29.25" customHeight="1">
      <c r="A351" s="118" t="s">
        <v>511</v>
      </c>
      <c r="B351" s="2" t="s">
        <v>400</v>
      </c>
      <c r="C351" s="32" t="s">
        <v>18</v>
      </c>
      <c r="D351" s="2" t="s">
        <v>510</v>
      </c>
      <c r="E351" s="27">
        <f>3530.8-57</f>
        <v>3473.8</v>
      </c>
      <c r="F351" s="27"/>
    </row>
    <row r="352" spans="1:6" s="22" customFormat="1" ht="23.25" customHeight="1">
      <c r="A352" s="118" t="s">
        <v>509</v>
      </c>
      <c r="B352" s="2" t="s">
        <v>400</v>
      </c>
      <c r="C352" s="32" t="s">
        <v>16</v>
      </c>
      <c r="D352" s="2" t="s">
        <v>508</v>
      </c>
      <c r="E352" s="27">
        <f>E353</f>
        <v>95</v>
      </c>
      <c r="F352" s="27"/>
    </row>
    <row r="353" spans="1:6" s="22" customFormat="1" ht="29.25" customHeight="1">
      <c r="A353" s="118" t="s">
        <v>511</v>
      </c>
      <c r="B353" s="2" t="s">
        <v>400</v>
      </c>
      <c r="C353" s="32" t="s">
        <v>16</v>
      </c>
      <c r="D353" s="5" t="s">
        <v>510</v>
      </c>
      <c r="E353" s="29">
        <f>100+49.9-54.9</f>
        <v>95</v>
      </c>
      <c r="F353" s="29"/>
    </row>
    <row r="354" spans="1:6" s="22" customFormat="1" ht="20.25" customHeight="1">
      <c r="A354" s="118" t="s">
        <v>513</v>
      </c>
      <c r="B354" s="2" t="s">
        <v>400</v>
      </c>
      <c r="C354" s="32" t="s">
        <v>16</v>
      </c>
      <c r="D354" s="2" t="s">
        <v>512</v>
      </c>
      <c r="E354" s="27">
        <f>E355</f>
        <v>4200</v>
      </c>
      <c r="F354" s="27"/>
    </row>
    <row r="355" spans="1:6" s="22" customFormat="1" ht="42.75" customHeight="1">
      <c r="A355" s="117" t="s">
        <v>274</v>
      </c>
      <c r="B355" s="2" t="s">
        <v>400</v>
      </c>
      <c r="C355" s="32" t="s">
        <v>16</v>
      </c>
      <c r="D355" s="2" t="s">
        <v>276</v>
      </c>
      <c r="E355" s="27">
        <f>4349.9-100-49.9</f>
        <v>4200</v>
      </c>
      <c r="F355" s="27"/>
    </row>
    <row r="356" spans="1:6" s="22" customFormat="1" ht="94.5" customHeight="1">
      <c r="A356" s="117" t="s">
        <v>4</v>
      </c>
      <c r="B356" s="2" t="s">
        <v>400</v>
      </c>
      <c r="C356" s="32" t="s">
        <v>5</v>
      </c>
      <c r="D356" s="2" t="s">
        <v>335</v>
      </c>
      <c r="E356" s="27">
        <f>E357</f>
        <v>14312</v>
      </c>
      <c r="F356" s="27">
        <f>F357</f>
        <v>14312</v>
      </c>
    </row>
    <row r="357" spans="1:6" s="22" customFormat="1" ht="24" customHeight="1">
      <c r="A357" s="118" t="s">
        <v>513</v>
      </c>
      <c r="B357" s="2" t="s">
        <v>400</v>
      </c>
      <c r="C357" s="32" t="s">
        <v>5</v>
      </c>
      <c r="D357" s="2" t="s">
        <v>512</v>
      </c>
      <c r="E357" s="27">
        <f>E358</f>
        <v>14312</v>
      </c>
      <c r="F357" s="27">
        <f>F358</f>
        <v>14312</v>
      </c>
    </row>
    <row r="358" spans="1:6" s="22" customFormat="1" ht="42.75" customHeight="1">
      <c r="A358" s="117" t="s">
        <v>274</v>
      </c>
      <c r="B358" s="2" t="s">
        <v>400</v>
      </c>
      <c r="C358" s="32" t="s">
        <v>5</v>
      </c>
      <c r="D358" s="2" t="s">
        <v>276</v>
      </c>
      <c r="E358" s="27">
        <v>14312</v>
      </c>
      <c r="F358" s="27">
        <f>E358</f>
        <v>14312</v>
      </c>
    </row>
    <row r="359" spans="1:6" s="22" customFormat="1" ht="94.5" customHeight="1">
      <c r="A359" s="117" t="s">
        <v>3</v>
      </c>
      <c r="B359" s="2" t="s">
        <v>400</v>
      </c>
      <c r="C359" s="32" t="s">
        <v>596</v>
      </c>
      <c r="D359" s="2" t="s">
        <v>335</v>
      </c>
      <c r="E359" s="27">
        <f>E360</f>
        <v>3578</v>
      </c>
      <c r="F359" s="27">
        <f>F360</f>
        <v>3578</v>
      </c>
    </row>
    <row r="360" spans="1:6" s="22" customFormat="1" ht="23.25" customHeight="1">
      <c r="A360" s="118" t="s">
        <v>513</v>
      </c>
      <c r="B360" s="2" t="s">
        <v>400</v>
      </c>
      <c r="C360" s="32" t="s">
        <v>596</v>
      </c>
      <c r="D360" s="2" t="s">
        <v>512</v>
      </c>
      <c r="E360" s="27">
        <f>E361</f>
        <v>3578</v>
      </c>
      <c r="F360" s="27">
        <f>F361</f>
        <v>3578</v>
      </c>
    </row>
    <row r="361" spans="1:6" s="22" customFormat="1" ht="41.25" customHeight="1">
      <c r="A361" s="117" t="s">
        <v>274</v>
      </c>
      <c r="B361" s="2" t="s">
        <v>400</v>
      </c>
      <c r="C361" s="32" t="s">
        <v>596</v>
      </c>
      <c r="D361" s="2" t="s">
        <v>276</v>
      </c>
      <c r="E361" s="27">
        <v>3578</v>
      </c>
      <c r="F361" s="27">
        <f>E361</f>
        <v>3578</v>
      </c>
    </row>
    <row r="362" spans="1:6" s="22" customFormat="1" ht="67.5" customHeight="1">
      <c r="A362" s="116" t="s">
        <v>80</v>
      </c>
      <c r="B362" s="32" t="s">
        <v>400</v>
      </c>
      <c r="C362" s="32" t="s">
        <v>447</v>
      </c>
      <c r="D362" s="32" t="s">
        <v>335</v>
      </c>
      <c r="E362" s="40">
        <f>E363</f>
        <v>5</v>
      </c>
      <c r="F362" s="40"/>
    </row>
    <row r="363" spans="1:6" s="22" customFormat="1" ht="27.75" customHeight="1">
      <c r="A363" s="35" t="s">
        <v>536</v>
      </c>
      <c r="B363" s="37" t="s">
        <v>400</v>
      </c>
      <c r="C363" s="37" t="s">
        <v>575</v>
      </c>
      <c r="D363" s="37" t="s">
        <v>535</v>
      </c>
      <c r="E363" s="38">
        <f>E364</f>
        <v>5</v>
      </c>
      <c r="F363" s="38"/>
    </row>
    <row r="364" spans="1:6" s="22" customFormat="1" ht="19.5" customHeight="1">
      <c r="A364" s="15" t="s">
        <v>534</v>
      </c>
      <c r="B364" s="37" t="s">
        <v>400</v>
      </c>
      <c r="C364" s="37" t="s">
        <v>575</v>
      </c>
      <c r="D364" s="37" t="s">
        <v>533</v>
      </c>
      <c r="E364" s="38">
        <f>2000-200-1795</f>
        <v>5</v>
      </c>
      <c r="F364" s="38"/>
    </row>
    <row r="365" spans="1:8" s="67" customFormat="1" ht="20.25" customHeight="1">
      <c r="A365" s="120" t="s">
        <v>343</v>
      </c>
      <c r="B365" s="58" t="s">
        <v>337</v>
      </c>
      <c r="C365" s="58" t="s">
        <v>358</v>
      </c>
      <c r="D365" s="58" t="s">
        <v>335</v>
      </c>
      <c r="E365" s="55">
        <f>E393+E366+E379</f>
        <v>35326.1</v>
      </c>
      <c r="F365" s="55">
        <f>F393</f>
        <v>13329</v>
      </c>
      <c r="H365" s="90"/>
    </row>
    <row r="366" spans="1:6" s="67" customFormat="1" ht="16.5" customHeight="1">
      <c r="A366" s="14" t="s">
        <v>419</v>
      </c>
      <c r="B366" s="84" t="s">
        <v>420</v>
      </c>
      <c r="C366" s="84" t="s">
        <v>358</v>
      </c>
      <c r="D366" s="84" t="s">
        <v>335</v>
      </c>
      <c r="E366" s="29">
        <f>E374+E367</f>
        <v>11963.3</v>
      </c>
      <c r="F366" s="51"/>
    </row>
    <row r="367" spans="1:6" s="67" customFormat="1" ht="40.5" customHeight="1">
      <c r="A367" s="15" t="s">
        <v>84</v>
      </c>
      <c r="B367" s="84" t="s">
        <v>420</v>
      </c>
      <c r="C367" s="5" t="s">
        <v>33</v>
      </c>
      <c r="D367" s="84" t="s">
        <v>335</v>
      </c>
      <c r="E367" s="29">
        <f>E371+E368</f>
        <v>2896.3</v>
      </c>
      <c r="F367" s="51"/>
    </row>
    <row r="368" spans="1:6" s="67" customFormat="1" ht="30" customHeight="1">
      <c r="A368" s="15" t="s">
        <v>185</v>
      </c>
      <c r="B368" s="84" t="s">
        <v>420</v>
      </c>
      <c r="C368" s="5" t="s">
        <v>186</v>
      </c>
      <c r="D368" s="84" t="s">
        <v>335</v>
      </c>
      <c r="E368" s="29">
        <f>E369</f>
        <v>500</v>
      </c>
      <c r="F368" s="51"/>
    </row>
    <row r="369" spans="1:6" s="67" customFormat="1" ht="30" customHeight="1">
      <c r="A369" s="35" t="s">
        <v>536</v>
      </c>
      <c r="B369" s="84" t="s">
        <v>420</v>
      </c>
      <c r="C369" s="5" t="s">
        <v>186</v>
      </c>
      <c r="D369" s="84" t="s">
        <v>535</v>
      </c>
      <c r="E369" s="29">
        <f>E370</f>
        <v>500</v>
      </c>
      <c r="F369" s="51"/>
    </row>
    <row r="370" spans="1:6" s="67" customFormat="1" ht="15.75" customHeight="1">
      <c r="A370" s="117" t="s">
        <v>534</v>
      </c>
      <c r="B370" s="84" t="s">
        <v>420</v>
      </c>
      <c r="C370" s="5" t="s">
        <v>186</v>
      </c>
      <c r="D370" s="84" t="s">
        <v>533</v>
      </c>
      <c r="E370" s="29">
        <f>500</f>
        <v>500</v>
      </c>
      <c r="F370" s="51"/>
    </row>
    <row r="371" spans="1:6" s="67" customFormat="1" ht="54.75" customHeight="1">
      <c r="A371" s="34" t="s">
        <v>263</v>
      </c>
      <c r="B371" s="84" t="s">
        <v>420</v>
      </c>
      <c r="C371" s="127" t="s">
        <v>174</v>
      </c>
      <c r="D371" s="127" t="s">
        <v>335</v>
      </c>
      <c r="E371" s="29">
        <f>E372</f>
        <v>2396.3</v>
      </c>
      <c r="F371" s="51"/>
    </row>
    <row r="372" spans="1:6" s="67" customFormat="1" ht="18" customHeight="1">
      <c r="A372" s="34" t="s">
        <v>170</v>
      </c>
      <c r="B372" s="127" t="s">
        <v>420</v>
      </c>
      <c r="C372" s="127" t="s">
        <v>174</v>
      </c>
      <c r="D372" s="127" t="s">
        <v>600</v>
      </c>
      <c r="E372" s="29">
        <f>E373</f>
        <v>2396.3</v>
      </c>
      <c r="F372" s="51"/>
    </row>
    <row r="373" spans="1:6" s="67" customFormat="1" ht="18" customHeight="1">
      <c r="A373" s="34" t="s">
        <v>422</v>
      </c>
      <c r="B373" s="127" t="s">
        <v>420</v>
      </c>
      <c r="C373" s="127" t="s">
        <v>174</v>
      </c>
      <c r="D373" s="127" t="s">
        <v>421</v>
      </c>
      <c r="E373" s="29">
        <f>843.5+1500-151.6+204.4</f>
        <v>2396.3</v>
      </c>
      <c r="F373" s="51"/>
    </row>
    <row r="374" spans="1:6" s="67" customFormat="1" ht="53.25" customHeight="1">
      <c r="A374" s="15" t="s">
        <v>81</v>
      </c>
      <c r="B374" s="84" t="s">
        <v>420</v>
      </c>
      <c r="C374" s="88" t="s">
        <v>448</v>
      </c>
      <c r="D374" s="84" t="s">
        <v>335</v>
      </c>
      <c r="E374" s="29">
        <f>E375+E377</f>
        <v>9067</v>
      </c>
      <c r="F374" s="51"/>
    </row>
    <row r="375" spans="1:6" s="67" customFormat="1" ht="18.75" customHeight="1">
      <c r="A375" s="34" t="s">
        <v>509</v>
      </c>
      <c r="B375" s="84" t="s">
        <v>420</v>
      </c>
      <c r="C375" s="88" t="s">
        <v>578</v>
      </c>
      <c r="D375" s="84" t="s">
        <v>508</v>
      </c>
      <c r="E375" s="29">
        <f>E376</f>
        <v>8067</v>
      </c>
      <c r="F375" s="51"/>
    </row>
    <row r="376" spans="1:6" s="67" customFormat="1" ht="27.75" customHeight="1">
      <c r="A376" s="34" t="s">
        <v>511</v>
      </c>
      <c r="B376" s="84" t="s">
        <v>420</v>
      </c>
      <c r="C376" s="88" t="s">
        <v>578</v>
      </c>
      <c r="D376" s="84" t="s">
        <v>510</v>
      </c>
      <c r="E376" s="29">
        <f>2500-1500+6600-1600+2067</f>
        <v>8067</v>
      </c>
      <c r="F376" s="51"/>
    </row>
    <row r="377" spans="1:6" s="67" customFormat="1" ht="29.25" customHeight="1">
      <c r="A377" s="35" t="s">
        <v>536</v>
      </c>
      <c r="B377" s="127" t="s">
        <v>420</v>
      </c>
      <c r="C377" s="126" t="s">
        <v>578</v>
      </c>
      <c r="D377" s="5" t="s">
        <v>535</v>
      </c>
      <c r="E377" s="29">
        <f>E378</f>
        <v>1000</v>
      </c>
      <c r="F377" s="51"/>
    </row>
    <row r="378" spans="1:6" s="67" customFormat="1" ht="19.5" customHeight="1">
      <c r="A378" s="117" t="s">
        <v>534</v>
      </c>
      <c r="B378" s="127" t="s">
        <v>420</v>
      </c>
      <c r="C378" s="126" t="s">
        <v>578</v>
      </c>
      <c r="D378" s="5" t="s">
        <v>533</v>
      </c>
      <c r="E378" s="29">
        <v>1000</v>
      </c>
      <c r="F378" s="51"/>
    </row>
    <row r="379" spans="1:6" s="67" customFormat="1" ht="20.25" customHeight="1">
      <c r="A379" s="34" t="s">
        <v>108</v>
      </c>
      <c r="B379" s="84" t="s">
        <v>107</v>
      </c>
      <c r="C379" s="84" t="s">
        <v>358</v>
      </c>
      <c r="D379" s="84" t="s">
        <v>335</v>
      </c>
      <c r="E379" s="29">
        <f>E383+E390+E380</f>
        <v>10033.8</v>
      </c>
      <c r="F379" s="51"/>
    </row>
    <row r="380" spans="1:6" s="67" customFormat="1" ht="42" customHeight="1">
      <c r="A380" s="15" t="s">
        <v>84</v>
      </c>
      <c r="B380" s="84" t="s">
        <v>107</v>
      </c>
      <c r="C380" s="5" t="s">
        <v>33</v>
      </c>
      <c r="D380" s="84" t="s">
        <v>335</v>
      </c>
      <c r="E380" s="29">
        <f>E381</f>
        <v>300</v>
      </c>
      <c r="F380" s="51"/>
    </row>
    <row r="381" spans="1:6" s="67" customFormat="1" ht="20.25" customHeight="1">
      <c r="A381" s="118" t="s">
        <v>509</v>
      </c>
      <c r="B381" s="48" t="s">
        <v>107</v>
      </c>
      <c r="C381" s="48" t="s">
        <v>34</v>
      </c>
      <c r="D381" s="48" t="s">
        <v>508</v>
      </c>
      <c r="E381" s="27">
        <f>E382</f>
        <v>300</v>
      </c>
      <c r="F381" s="55"/>
    </row>
    <row r="382" spans="1:6" s="67" customFormat="1" ht="28.5" customHeight="1">
      <c r="A382" s="118" t="s">
        <v>511</v>
      </c>
      <c r="B382" s="48" t="s">
        <v>107</v>
      </c>
      <c r="C382" s="48" t="s">
        <v>34</v>
      </c>
      <c r="D382" s="48" t="s">
        <v>510</v>
      </c>
      <c r="E382" s="27">
        <v>300</v>
      </c>
      <c r="F382" s="55"/>
    </row>
    <row r="383" spans="1:6" s="67" customFormat="1" ht="53.25" customHeight="1">
      <c r="A383" s="15" t="s">
        <v>109</v>
      </c>
      <c r="B383" s="84" t="s">
        <v>107</v>
      </c>
      <c r="C383" s="88" t="s">
        <v>449</v>
      </c>
      <c r="D383" s="84" t="s">
        <v>335</v>
      </c>
      <c r="E383" s="29">
        <f>E385+E387</f>
        <v>9069.9</v>
      </c>
      <c r="F383" s="51"/>
    </row>
    <row r="384" spans="1:6" s="67" customFormat="1" ht="17.25" customHeight="1">
      <c r="A384" s="15" t="s">
        <v>216</v>
      </c>
      <c r="B384" s="84" t="s">
        <v>107</v>
      </c>
      <c r="C384" s="88" t="s">
        <v>110</v>
      </c>
      <c r="D384" s="84" t="s">
        <v>335</v>
      </c>
      <c r="E384" s="29">
        <f>E385</f>
        <v>2000.2999999999993</v>
      </c>
      <c r="F384" s="51"/>
    </row>
    <row r="385" spans="1:6" s="67" customFormat="1" ht="20.25" customHeight="1">
      <c r="A385" s="118" t="s">
        <v>509</v>
      </c>
      <c r="B385" s="48" t="s">
        <v>107</v>
      </c>
      <c r="C385" s="106" t="s">
        <v>110</v>
      </c>
      <c r="D385" s="48" t="s">
        <v>508</v>
      </c>
      <c r="E385" s="27">
        <f>E386</f>
        <v>2000.2999999999993</v>
      </c>
      <c r="F385" s="55"/>
    </row>
    <row r="386" spans="1:6" s="67" customFormat="1" ht="27.75" customHeight="1">
      <c r="A386" s="34" t="s">
        <v>511</v>
      </c>
      <c r="B386" s="84" t="s">
        <v>107</v>
      </c>
      <c r="C386" s="88" t="s">
        <v>110</v>
      </c>
      <c r="D386" s="84" t="s">
        <v>510</v>
      </c>
      <c r="E386" s="29">
        <f>13861.3-6624-3237-2000</f>
        <v>2000.2999999999993</v>
      </c>
      <c r="F386" s="51"/>
    </row>
    <row r="387" spans="1:6" s="67" customFormat="1" ht="54" customHeight="1">
      <c r="A387" s="118" t="s">
        <v>264</v>
      </c>
      <c r="B387" s="48" t="s">
        <v>107</v>
      </c>
      <c r="C387" s="129" t="s">
        <v>175</v>
      </c>
      <c r="D387" s="139" t="s">
        <v>335</v>
      </c>
      <c r="E387" s="27">
        <f>E388</f>
        <v>7069.6</v>
      </c>
      <c r="F387" s="55"/>
    </row>
    <row r="388" spans="1:6" s="67" customFormat="1" ht="20.25" customHeight="1">
      <c r="A388" s="118" t="s">
        <v>170</v>
      </c>
      <c r="B388" s="48" t="s">
        <v>107</v>
      </c>
      <c r="C388" s="129" t="s">
        <v>175</v>
      </c>
      <c r="D388" s="139" t="s">
        <v>600</v>
      </c>
      <c r="E388" s="27">
        <f>E389</f>
        <v>7069.6</v>
      </c>
      <c r="F388" s="55"/>
    </row>
    <row r="389" spans="1:6" s="67" customFormat="1" ht="21" customHeight="1">
      <c r="A389" s="34" t="s">
        <v>422</v>
      </c>
      <c r="B389" s="84" t="s">
        <v>107</v>
      </c>
      <c r="C389" s="126" t="s">
        <v>175</v>
      </c>
      <c r="D389" s="127" t="s">
        <v>421</v>
      </c>
      <c r="E389" s="29">
        <f>6624+2000-500-350-500-204.4</f>
        <v>7069.6</v>
      </c>
      <c r="F389" s="51"/>
    </row>
    <row r="390" spans="1:6" s="67" customFormat="1" ht="54" customHeight="1">
      <c r="A390" s="118" t="s">
        <v>265</v>
      </c>
      <c r="B390" s="48" t="s">
        <v>107</v>
      </c>
      <c r="C390" s="32" t="s">
        <v>580</v>
      </c>
      <c r="D390" s="139" t="s">
        <v>335</v>
      </c>
      <c r="E390" s="27">
        <f>E391</f>
        <v>663.9</v>
      </c>
      <c r="F390" s="55"/>
    </row>
    <row r="391" spans="1:6" s="67" customFormat="1" ht="21" customHeight="1">
      <c r="A391" s="34" t="s">
        <v>170</v>
      </c>
      <c r="B391" s="84" t="s">
        <v>107</v>
      </c>
      <c r="C391" s="37" t="s">
        <v>580</v>
      </c>
      <c r="D391" s="127" t="s">
        <v>600</v>
      </c>
      <c r="E391" s="29">
        <f>E392</f>
        <v>663.9</v>
      </c>
      <c r="F391" s="51"/>
    </row>
    <row r="392" spans="1:6" s="67" customFormat="1" ht="21" customHeight="1">
      <c r="A392" s="34" t="s">
        <v>422</v>
      </c>
      <c r="B392" s="84" t="s">
        <v>107</v>
      </c>
      <c r="C392" s="37" t="s">
        <v>580</v>
      </c>
      <c r="D392" s="127" t="s">
        <v>421</v>
      </c>
      <c r="E392" s="29">
        <f>752.1-88.2</f>
        <v>663.9</v>
      </c>
      <c r="F392" s="51"/>
    </row>
    <row r="393" spans="1:6" s="22" customFormat="1" ht="28.5" customHeight="1">
      <c r="A393" s="18" t="s">
        <v>368</v>
      </c>
      <c r="B393" s="2" t="s">
        <v>401</v>
      </c>
      <c r="C393" s="2" t="s">
        <v>358</v>
      </c>
      <c r="D393" s="2" t="s">
        <v>335</v>
      </c>
      <c r="E393" s="27">
        <f>E394</f>
        <v>13329</v>
      </c>
      <c r="F393" s="27">
        <f>F394</f>
        <v>13329</v>
      </c>
    </row>
    <row r="394" spans="1:6" s="22" customFormat="1" ht="53.25" customHeight="1">
      <c r="A394" s="34" t="s">
        <v>26</v>
      </c>
      <c r="B394" s="5" t="s">
        <v>401</v>
      </c>
      <c r="C394" s="5" t="s">
        <v>450</v>
      </c>
      <c r="D394" s="5" t="s">
        <v>335</v>
      </c>
      <c r="E394" s="29">
        <f>E395</f>
        <v>13329</v>
      </c>
      <c r="F394" s="29">
        <f>F395</f>
        <v>13329</v>
      </c>
    </row>
    <row r="395" spans="1:6" s="22" customFormat="1" ht="42" customHeight="1">
      <c r="A395" s="118" t="s">
        <v>27</v>
      </c>
      <c r="B395" s="2" t="s">
        <v>401</v>
      </c>
      <c r="C395" s="76" t="s">
        <v>432</v>
      </c>
      <c r="D395" s="2" t="s">
        <v>335</v>
      </c>
      <c r="E395" s="27">
        <f>E396+E398+E400</f>
        <v>13329</v>
      </c>
      <c r="F395" s="27">
        <f>F396+F398+F400</f>
        <v>13329</v>
      </c>
    </row>
    <row r="396" spans="1:6" s="22" customFormat="1" ht="63.75" customHeight="1">
      <c r="A396" s="21" t="s">
        <v>522</v>
      </c>
      <c r="B396" s="5" t="s">
        <v>401</v>
      </c>
      <c r="C396" s="5" t="s">
        <v>432</v>
      </c>
      <c r="D396" s="5" t="s">
        <v>514</v>
      </c>
      <c r="E396" s="29">
        <f>E397</f>
        <v>12329.1</v>
      </c>
      <c r="F396" s="29">
        <f>F397</f>
        <v>12329.1</v>
      </c>
    </row>
    <row r="397" spans="1:6" s="22" customFormat="1" ht="22.5" customHeight="1">
      <c r="A397" s="21" t="s">
        <v>530</v>
      </c>
      <c r="B397" s="5" t="s">
        <v>401</v>
      </c>
      <c r="C397" s="5" t="s">
        <v>432</v>
      </c>
      <c r="D397" s="5" t="s">
        <v>523</v>
      </c>
      <c r="E397" s="29">
        <f>11949.1+380</f>
        <v>12329.1</v>
      </c>
      <c r="F397" s="29">
        <f>E397</f>
        <v>12329.1</v>
      </c>
    </row>
    <row r="398" spans="1:6" s="22" customFormat="1" ht="20.25" customHeight="1">
      <c r="A398" s="34" t="s">
        <v>509</v>
      </c>
      <c r="B398" s="5" t="s">
        <v>401</v>
      </c>
      <c r="C398" s="5" t="s">
        <v>432</v>
      </c>
      <c r="D398" s="5" t="s">
        <v>508</v>
      </c>
      <c r="E398" s="29">
        <f>E399</f>
        <v>991.9000000000001</v>
      </c>
      <c r="F398" s="29">
        <f>F399</f>
        <v>991.9000000000001</v>
      </c>
    </row>
    <row r="399" spans="1:6" s="22" customFormat="1" ht="30.75" customHeight="1">
      <c r="A399" s="118" t="s">
        <v>511</v>
      </c>
      <c r="B399" s="2" t="s">
        <v>401</v>
      </c>
      <c r="C399" s="2" t="s">
        <v>432</v>
      </c>
      <c r="D399" s="2" t="s">
        <v>510</v>
      </c>
      <c r="E399" s="27">
        <f>1371.9-380</f>
        <v>991.9000000000001</v>
      </c>
      <c r="F399" s="27">
        <f>E399</f>
        <v>991.9000000000001</v>
      </c>
    </row>
    <row r="400" spans="1:6" s="22" customFormat="1" ht="20.25" customHeight="1">
      <c r="A400" s="34" t="s">
        <v>513</v>
      </c>
      <c r="B400" s="5" t="s">
        <v>401</v>
      </c>
      <c r="C400" s="5" t="s">
        <v>432</v>
      </c>
      <c r="D400" s="2" t="s">
        <v>512</v>
      </c>
      <c r="E400" s="29">
        <f>E401</f>
        <v>8</v>
      </c>
      <c r="F400" s="29">
        <f>F401</f>
        <v>8</v>
      </c>
    </row>
    <row r="401" spans="1:6" s="22" customFormat="1" ht="19.5" customHeight="1">
      <c r="A401" s="118" t="s">
        <v>532</v>
      </c>
      <c r="B401" s="2" t="s">
        <v>401</v>
      </c>
      <c r="C401" s="2" t="s">
        <v>432</v>
      </c>
      <c r="D401" s="2" t="s">
        <v>531</v>
      </c>
      <c r="E401" s="27">
        <f>8</f>
        <v>8</v>
      </c>
      <c r="F401" s="27">
        <f>E401</f>
        <v>8</v>
      </c>
    </row>
    <row r="402" spans="1:6" s="22" customFormat="1" ht="27.75" customHeight="1">
      <c r="A402" s="120" t="s">
        <v>369</v>
      </c>
      <c r="B402" s="58" t="s">
        <v>338</v>
      </c>
      <c r="C402" s="58" t="s">
        <v>358</v>
      </c>
      <c r="D402" s="58" t="s">
        <v>335</v>
      </c>
      <c r="E402" s="55">
        <f>E403</f>
        <v>540</v>
      </c>
      <c r="F402" s="55">
        <f>F403</f>
        <v>0</v>
      </c>
    </row>
    <row r="403" spans="1:6" s="22" customFormat="1" ht="20.25" customHeight="1">
      <c r="A403" s="128" t="s">
        <v>390</v>
      </c>
      <c r="B403" s="2" t="s">
        <v>402</v>
      </c>
      <c r="C403" s="2" t="s">
        <v>358</v>
      </c>
      <c r="D403" s="2" t="s">
        <v>335</v>
      </c>
      <c r="E403" s="27">
        <f>E404</f>
        <v>540</v>
      </c>
      <c r="F403" s="27"/>
    </row>
    <row r="404" spans="1:6" s="22" customFormat="1" ht="53.25" customHeight="1">
      <c r="A404" s="41" t="s">
        <v>79</v>
      </c>
      <c r="B404" s="2" t="s">
        <v>402</v>
      </c>
      <c r="C404" s="32" t="s">
        <v>451</v>
      </c>
      <c r="D404" s="2" t="s">
        <v>335</v>
      </c>
      <c r="E404" s="27">
        <f>E405+E407</f>
        <v>540</v>
      </c>
      <c r="F404" s="27"/>
    </row>
    <row r="405" spans="1:6" s="22" customFormat="1" ht="21" customHeight="1">
      <c r="A405" s="34" t="s">
        <v>509</v>
      </c>
      <c r="B405" s="2" t="s">
        <v>402</v>
      </c>
      <c r="C405" s="32" t="s">
        <v>576</v>
      </c>
      <c r="D405" s="2" t="s">
        <v>508</v>
      </c>
      <c r="E405" s="27">
        <f>E406</f>
        <v>498.5</v>
      </c>
      <c r="F405" s="27"/>
    </row>
    <row r="406" spans="1:6" s="22" customFormat="1" ht="27.75" customHeight="1">
      <c r="A406" s="34" t="s">
        <v>511</v>
      </c>
      <c r="B406" s="2" t="s">
        <v>402</v>
      </c>
      <c r="C406" s="32" t="s">
        <v>576</v>
      </c>
      <c r="D406" s="2" t="s">
        <v>510</v>
      </c>
      <c r="E406" s="27">
        <f>1300+4114.2-4114.2-41.5-100-360-300</f>
        <v>498.5</v>
      </c>
      <c r="F406" s="27"/>
    </row>
    <row r="407" spans="1:6" s="22" customFormat="1" ht="27.75" customHeight="1">
      <c r="A407" s="35" t="s">
        <v>536</v>
      </c>
      <c r="B407" s="2" t="s">
        <v>402</v>
      </c>
      <c r="C407" s="32" t="s">
        <v>576</v>
      </c>
      <c r="D407" s="1" t="s">
        <v>535</v>
      </c>
      <c r="E407" s="27">
        <f>E408</f>
        <v>41.5</v>
      </c>
      <c r="F407" s="27"/>
    </row>
    <row r="408" spans="1:6" s="22" customFormat="1" ht="22.5" customHeight="1">
      <c r="A408" s="117" t="s">
        <v>534</v>
      </c>
      <c r="B408" s="2" t="s">
        <v>402</v>
      </c>
      <c r="C408" s="32" t="s">
        <v>576</v>
      </c>
      <c r="D408" s="1" t="s">
        <v>533</v>
      </c>
      <c r="E408" s="27">
        <v>41.5</v>
      </c>
      <c r="F408" s="27"/>
    </row>
    <row r="409" spans="1:8" s="22" customFormat="1" ht="22.5" customHeight="1">
      <c r="A409" s="49" t="s">
        <v>344</v>
      </c>
      <c r="B409" s="58" t="s">
        <v>339</v>
      </c>
      <c r="C409" s="58" t="s">
        <v>358</v>
      </c>
      <c r="D409" s="58" t="s">
        <v>335</v>
      </c>
      <c r="E409" s="55">
        <f>E410+E457+E630+E656+E626</f>
        <v>4034740</v>
      </c>
      <c r="F409" s="55">
        <f>F410+F457+F630+F656+F626</f>
        <v>2797013.8</v>
      </c>
      <c r="H409" s="89"/>
    </row>
    <row r="410" spans="1:8" s="22" customFormat="1" ht="20.25" customHeight="1">
      <c r="A410" s="14" t="s">
        <v>345</v>
      </c>
      <c r="B410" s="65" t="s">
        <v>340</v>
      </c>
      <c r="C410" s="65" t="s">
        <v>358</v>
      </c>
      <c r="D410" s="65" t="s">
        <v>335</v>
      </c>
      <c r="E410" s="66">
        <f>E411+E454+E451</f>
        <v>1619076.7</v>
      </c>
      <c r="F410" s="66">
        <f>F411</f>
        <v>1149280.5</v>
      </c>
      <c r="H410" s="89"/>
    </row>
    <row r="411" spans="1:6" s="22" customFormat="1" ht="54.75" customHeight="1">
      <c r="A411" s="41" t="s">
        <v>58</v>
      </c>
      <c r="B411" s="1" t="s">
        <v>340</v>
      </c>
      <c r="C411" s="5" t="s">
        <v>490</v>
      </c>
      <c r="D411" s="1" t="s">
        <v>335</v>
      </c>
      <c r="E411" s="66">
        <f>E412</f>
        <v>1617308.5</v>
      </c>
      <c r="F411" s="66">
        <f>F412</f>
        <v>1149280.5</v>
      </c>
    </row>
    <row r="412" spans="1:6" s="22" customFormat="1" ht="20.25" customHeight="1">
      <c r="A412" s="35" t="s">
        <v>59</v>
      </c>
      <c r="B412" s="1" t="s">
        <v>340</v>
      </c>
      <c r="C412" s="5" t="s">
        <v>485</v>
      </c>
      <c r="D412" s="1" t="s">
        <v>335</v>
      </c>
      <c r="E412" s="66">
        <f>E416+E428+E425+E422+E413+E419</f>
        <v>1617308.5</v>
      </c>
      <c r="F412" s="66">
        <f>F416+F428+F425+F422+F413+F419</f>
        <v>1149280.5</v>
      </c>
    </row>
    <row r="413" spans="1:6" s="22" customFormat="1" ht="39.75" customHeight="1">
      <c r="A413" s="35" t="s">
        <v>237</v>
      </c>
      <c r="B413" s="1" t="s">
        <v>340</v>
      </c>
      <c r="C413" s="5" t="s">
        <v>236</v>
      </c>
      <c r="D413" s="1" t="s">
        <v>335</v>
      </c>
      <c r="E413" s="73">
        <f>E414</f>
        <v>2050</v>
      </c>
      <c r="F413" s="73">
        <f>F414</f>
        <v>2050</v>
      </c>
    </row>
    <row r="414" spans="1:6" s="22" customFormat="1" ht="27.75" customHeight="1">
      <c r="A414" s="35" t="s">
        <v>536</v>
      </c>
      <c r="B414" s="1" t="s">
        <v>340</v>
      </c>
      <c r="C414" s="5" t="s">
        <v>236</v>
      </c>
      <c r="D414" s="1" t="s">
        <v>535</v>
      </c>
      <c r="E414" s="73">
        <f>E415</f>
        <v>2050</v>
      </c>
      <c r="F414" s="73">
        <f>F415</f>
        <v>2050</v>
      </c>
    </row>
    <row r="415" spans="1:6" s="22" customFormat="1" ht="20.25" customHeight="1">
      <c r="A415" s="117" t="s">
        <v>534</v>
      </c>
      <c r="B415" s="1" t="s">
        <v>340</v>
      </c>
      <c r="C415" s="5" t="s">
        <v>236</v>
      </c>
      <c r="D415" s="1" t="s">
        <v>533</v>
      </c>
      <c r="E415" s="73">
        <f>1800+250</f>
        <v>2050</v>
      </c>
      <c r="F415" s="73">
        <f>E415</f>
        <v>2050</v>
      </c>
    </row>
    <row r="416" spans="1:6" s="22" customFormat="1" ht="103.5" customHeight="1">
      <c r="A416" s="117" t="s">
        <v>20</v>
      </c>
      <c r="B416" s="1" t="s">
        <v>340</v>
      </c>
      <c r="C416" s="76" t="s">
        <v>489</v>
      </c>
      <c r="D416" s="1" t="s">
        <v>335</v>
      </c>
      <c r="E416" s="73">
        <f>E418</f>
        <v>840525</v>
      </c>
      <c r="F416" s="73">
        <f>F418</f>
        <v>840525</v>
      </c>
    </row>
    <row r="417" spans="1:6" s="22" customFormat="1" ht="33" customHeight="1">
      <c r="A417" s="123" t="s">
        <v>536</v>
      </c>
      <c r="B417" s="1" t="s">
        <v>340</v>
      </c>
      <c r="C417" s="2" t="s">
        <v>489</v>
      </c>
      <c r="D417" s="1" t="s">
        <v>535</v>
      </c>
      <c r="E417" s="73">
        <f>E418</f>
        <v>840525</v>
      </c>
      <c r="F417" s="73">
        <f>F418</f>
        <v>840525</v>
      </c>
    </row>
    <row r="418" spans="1:6" s="22" customFormat="1" ht="22.5" customHeight="1">
      <c r="A418" s="117" t="s">
        <v>534</v>
      </c>
      <c r="B418" s="1" t="s">
        <v>340</v>
      </c>
      <c r="C418" s="2" t="s">
        <v>489</v>
      </c>
      <c r="D418" s="1" t="s">
        <v>533</v>
      </c>
      <c r="E418" s="73">
        <f>830070+10455</f>
        <v>840525</v>
      </c>
      <c r="F418" s="73">
        <f>E418</f>
        <v>840525</v>
      </c>
    </row>
    <row r="419" spans="1:6" s="22" customFormat="1" ht="52.5" customHeight="1">
      <c r="A419" s="117" t="s">
        <v>346</v>
      </c>
      <c r="B419" s="1" t="s">
        <v>340</v>
      </c>
      <c r="C419" s="2" t="s">
        <v>347</v>
      </c>
      <c r="D419" s="1" t="s">
        <v>335</v>
      </c>
      <c r="E419" s="73">
        <f>E420</f>
        <v>500</v>
      </c>
      <c r="F419" s="73">
        <f>F420</f>
        <v>500</v>
      </c>
    </row>
    <row r="420" spans="1:6" s="22" customFormat="1" ht="27.75" customHeight="1">
      <c r="A420" s="35" t="s">
        <v>536</v>
      </c>
      <c r="B420" s="1" t="s">
        <v>340</v>
      </c>
      <c r="C420" s="5" t="s">
        <v>347</v>
      </c>
      <c r="D420" s="1" t="s">
        <v>535</v>
      </c>
      <c r="E420" s="73">
        <f>E421</f>
        <v>500</v>
      </c>
      <c r="F420" s="73">
        <f>F421</f>
        <v>500</v>
      </c>
    </row>
    <row r="421" spans="1:6" s="22" customFormat="1" ht="22.5" customHeight="1">
      <c r="A421" s="117" t="s">
        <v>534</v>
      </c>
      <c r="B421" s="1" t="s">
        <v>340</v>
      </c>
      <c r="C421" s="5" t="s">
        <v>347</v>
      </c>
      <c r="D421" s="1" t="s">
        <v>533</v>
      </c>
      <c r="E421" s="73">
        <v>500</v>
      </c>
      <c r="F421" s="73">
        <v>500</v>
      </c>
    </row>
    <row r="422" spans="1:6" s="22" customFormat="1" ht="39.75" customHeight="1">
      <c r="A422" s="122" t="s">
        <v>198</v>
      </c>
      <c r="B422" s="1" t="s">
        <v>340</v>
      </c>
      <c r="C422" s="2" t="s">
        <v>199</v>
      </c>
      <c r="D422" s="1" t="s">
        <v>335</v>
      </c>
      <c r="E422" s="73">
        <f>E423</f>
        <v>305053.5</v>
      </c>
      <c r="F422" s="73">
        <f>F423</f>
        <v>305053.5</v>
      </c>
    </row>
    <row r="423" spans="1:6" s="22" customFormat="1" ht="41.25" customHeight="1">
      <c r="A423" s="123" t="s">
        <v>73</v>
      </c>
      <c r="B423" s="1" t="s">
        <v>340</v>
      </c>
      <c r="C423" s="5" t="s">
        <v>199</v>
      </c>
      <c r="D423" s="1" t="s">
        <v>550</v>
      </c>
      <c r="E423" s="73">
        <f>E424</f>
        <v>305053.5</v>
      </c>
      <c r="F423" s="73">
        <f>F424</f>
        <v>305053.5</v>
      </c>
    </row>
    <row r="424" spans="1:6" s="22" customFormat="1" ht="93" customHeight="1">
      <c r="A424" s="117" t="s">
        <v>75</v>
      </c>
      <c r="B424" s="1" t="s">
        <v>340</v>
      </c>
      <c r="C424" s="2" t="s">
        <v>199</v>
      </c>
      <c r="D424" s="1" t="s">
        <v>72</v>
      </c>
      <c r="E424" s="73">
        <f>385163.4-84109.9+4000</f>
        <v>305053.5</v>
      </c>
      <c r="F424" s="73">
        <f>385163.4-84109.9+4000</f>
        <v>305053.5</v>
      </c>
    </row>
    <row r="425" spans="1:6" s="22" customFormat="1" ht="67.5" customHeight="1">
      <c r="A425" s="8" t="s">
        <v>158</v>
      </c>
      <c r="B425" s="1" t="s">
        <v>340</v>
      </c>
      <c r="C425" s="84" t="s">
        <v>162</v>
      </c>
      <c r="D425" s="2" t="s">
        <v>335</v>
      </c>
      <c r="E425" s="24">
        <f>E426</f>
        <v>1152</v>
      </c>
      <c r="F425" s="24">
        <f>F426</f>
        <v>1152</v>
      </c>
    </row>
    <row r="426" spans="1:6" s="22" customFormat="1" ht="29.25" customHeight="1">
      <c r="A426" s="35" t="s">
        <v>536</v>
      </c>
      <c r="B426" s="1" t="s">
        <v>340</v>
      </c>
      <c r="C426" s="84" t="s">
        <v>162</v>
      </c>
      <c r="D426" s="2" t="s">
        <v>535</v>
      </c>
      <c r="E426" s="24">
        <f>E427</f>
        <v>1152</v>
      </c>
      <c r="F426" s="24">
        <f>F427</f>
        <v>1152</v>
      </c>
    </row>
    <row r="427" spans="1:6" s="22" customFormat="1" ht="18.75" customHeight="1">
      <c r="A427" s="117" t="s">
        <v>534</v>
      </c>
      <c r="B427" s="1" t="s">
        <v>340</v>
      </c>
      <c r="C427" s="48" t="s">
        <v>162</v>
      </c>
      <c r="D427" s="2" t="s">
        <v>533</v>
      </c>
      <c r="E427" s="24">
        <v>1152</v>
      </c>
      <c r="F427" s="24">
        <v>1152</v>
      </c>
    </row>
    <row r="428" spans="1:6" s="22" customFormat="1" ht="56.25" customHeight="1">
      <c r="A428" s="41" t="s">
        <v>58</v>
      </c>
      <c r="B428" s="1" t="s">
        <v>340</v>
      </c>
      <c r="C428" s="5" t="s">
        <v>490</v>
      </c>
      <c r="D428" s="1" t="s">
        <v>335</v>
      </c>
      <c r="E428" s="73">
        <f>E429</f>
        <v>468027.99999999994</v>
      </c>
      <c r="F428" s="25"/>
    </row>
    <row r="429" spans="1:6" s="22" customFormat="1" ht="21" customHeight="1">
      <c r="A429" s="35" t="s">
        <v>59</v>
      </c>
      <c r="B429" s="1" t="s">
        <v>340</v>
      </c>
      <c r="C429" s="5" t="s">
        <v>485</v>
      </c>
      <c r="D429" s="1" t="s">
        <v>335</v>
      </c>
      <c r="E429" s="73">
        <f>E433+E439+E445+E448+E436+E442+E430</f>
        <v>468027.99999999994</v>
      </c>
      <c r="F429" s="25"/>
    </row>
    <row r="430" spans="1:6" s="22" customFormat="1" ht="27.75" customHeight="1">
      <c r="A430" s="123" t="s">
        <v>564</v>
      </c>
      <c r="B430" s="1" t="s">
        <v>340</v>
      </c>
      <c r="C430" s="2" t="s">
        <v>163</v>
      </c>
      <c r="D430" s="1" t="s">
        <v>335</v>
      </c>
      <c r="E430" s="24">
        <f>E431</f>
        <v>1728</v>
      </c>
      <c r="F430" s="25"/>
    </row>
    <row r="431" spans="1:6" s="22" customFormat="1" ht="28.5" customHeight="1">
      <c r="A431" s="35" t="s">
        <v>536</v>
      </c>
      <c r="B431" s="1" t="s">
        <v>340</v>
      </c>
      <c r="C431" s="2" t="s">
        <v>163</v>
      </c>
      <c r="D431" s="1" t="s">
        <v>535</v>
      </c>
      <c r="E431" s="73">
        <f>E432</f>
        <v>1728</v>
      </c>
      <c r="F431" s="25"/>
    </row>
    <row r="432" spans="1:6" s="22" customFormat="1" ht="21" customHeight="1">
      <c r="A432" s="117" t="s">
        <v>534</v>
      </c>
      <c r="B432" s="1" t="s">
        <v>340</v>
      </c>
      <c r="C432" s="2" t="s">
        <v>163</v>
      </c>
      <c r="D432" s="1" t="s">
        <v>533</v>
      </c>
      <c r="E432" s="73">
        <f>1728</f>
        <v>1728</v>
      </c>
      <c r="F432" s="25"/>
    </row>
    <row r="433" spans="1:6" s="22" customFormat="1" ht="33.75" customHeight="1">
      <c r="A433" s="15" t="s">
        <v>367</v>
      </c>
      <c r="B433" s="1" t="s">
        <v>340</v>
      </c>
      <c r="C433" s="5" t="s">
        <v>581</v>
      </c>
      <c r="D433" s="1" t="s">
        <v>335</v>
      </c>
      <c r="E433" s="73">
        <f>E434</f>
        <v>301283.2</v>
      </c>
      <c r="F433" s="25"/>
    </row>
    <row r="434" spans="1:6" s="22" customFormat="1" ht="33.75" customHeight="1">
      <c r="A434" s="35" t="s">
        <v>536</v>
      </c>
      <c r="B434" s="1" t="s">
        <v>340</v>
      </c>
      <c r="C434" s="5" t="s">
        <v>581</v>
      </c>
      <c r="D434" s="1" t="s">
        <v>535</v>
      </c>
      <c r="E434" s="73">
        <f>E435</f>
        <v>301283.2</v>
      </c>
      <c r="F434" s="25"/>
    </row>
    <row r="435" spans="1:6" s="22" customFormat="1" ht="20.25" customHeight="1">
      <c r="A435" s="15" t="s">
        <v>534</v>
      </c>
      <c r="B435" s="1" t="s">
        <v>340</v>
      </c>
      <c r="C435" s="5" t="s">
        <v>581</v>
      </c>
      <c r="D435" s="1" t="s">
        <v>533</v>
      </c>
      <c r="E435" s="73">
        <f>343341.2-1728-2000+10000-850-509-687.7-44570-1713.3</f>
        <v>301283.2</v>
      </c>
      <c r="F435" s="25"/>
    </row>
    <row r="436" spans="1:6" s="22" customFormat="1" ht="20.25" customHeight="1">
      <c r="A436" s="15" t="s">
        <v>558</v>
      </c>
      <c r="B436" s="1" t="s">
        <v>340</v>
      </c>
      <c r="C436" s="5" t="s">
        <v>132</v>
      </c>
      <c r="D436" s="1" t="s">
        <v>335</v>
      </c>
      <c r="E436" s="73">
        <f>E437</f>
        <v>775.8</v>
      </c>
      <c r="F436" s="25"/>
    </row>
    <row r="437" spans="1:6" s="22" customFormat="1" ht="29.25" customHeight="1">
      <c r="A437" s="123" t="s">
        <v>536</v>
      </c>
      <c r="B437" s="1" t="s">
        <v>340</v>
      </c>
      <c r="C437" s="2" t="s">
        <v>132</v>
      </c>
      <c r="D437" s="1" t="s">
        <v>535</v>
      </c>
      <c r="E437" s="73">
        <f>E438</f>
        <v>775.8</v>
      </c>
      <c r="F437" s="25"/>
    </row>
    <row r="438" spans="1:6" s="22" customFormat="1" ht="20.25" customHeight="1">
      <c r="A438" s="15" t="s">
        <v>534</v>
      </c>
      <c r="B438" s="1" t="s">
        <v>340</v>
      </c>
      <c r="C438" s="5" t="s">
        <v>132</v>
      </c>
      <c r="D438" s="1" t="s">
        <v>533</v>
      </c>
      <c r="E438" s="73">
        <v>775.8</v>
      </c>
      <c r="F438" s="25"/>
    </row>
    <row r="439" spans="1:6" s="22" customFormat="1" ht="19.5" customHeight="1">
      <c r="A439" s="15" t="s">
        <v>553</v>
      </c>
      <c r="B439" s="1" t="s">
        <v>340</v>
      </c>
      <c r="C439" s="5" t="s">
        <v>593</v>
      </c>
      <c r="D439" s="1" t="s">
        <v>335</v>
      </c>
      <c r="E439" s="73">
        <f>E440</f>
        <v>114194.29999999999</v>
      </c>
      <c r="F439" s="25"/>
    </row>
    <row r="440" spans="1:6" s="22" customFormat="1" ht="33.75" customHeight="1">
      <c r="A440" s="35" t="s">
        <v>536</v>
      </c>
      <c r="B440" s="1" t="s">
        <v>340</v>
      </c>
      <c r="C440" s="5" t="s">
        <v>593</v>
      </c>
      <c r="D440" s="1" t="s">
        <v>535</v>
      </c>
      <c r="E440" s="73">
        <f>E441</f>
        <v>114194.29999999999</v>
      </c>
      <c r="F440" s="25"/>
    </row>
    <row r="441" spans="1:6" s="22" customFormat="1" ht="21.75" customHeight="1">
      <c r="A441" s="15" t="s">
        <v>534</v>
      </c>
      <c r="B441" s="1" t="s">
        <v>340</v>
      </c>
      <c r="C441" s="5" t="s">
        <v>593</v>
      </c>
      <c r="D441" s="1" t="s">
        <v>533</v>
      </c>
      <c r="E441" s="73">
        <f>117731-35000+13173.4-1439.5-9.7+20000+12.4-603.3+330</f>
        <v>114194.29999999999</v>
      </c>
      <c r="F441" s="25"/>
    </row>
    <row r="442" spans="1:6" s="22" customFormat="1" ht="27" customHeight="1">
      <c r="A442" s="15" t="s">
        <v>617</v>
      </c>
      <c r="B442" s="1" t="s">
        <v>340</v>
      </c>
      <c r="C442" s="5" t="s">
        <v>133</v>
      </c>
      <c r="D442" s="1" t="s">
        <v>335</v>
      </c>
      <c r="E442" s="73">
        <f>E443</f>
        <v>155.6</v>
      </c>
      <c r="F442" s="25"/>
    </row>
    <row r="443" spans="1:6" s="22" customFormat="1" ht="28.5" customHeight="1">
      <c r="A443" s="35" t="s">
        <v>536</v>
      </c>
      <c r="B443" s="1" t="s">
        <v>340</v>
      </c>
      <c r="C443" s="5" t="s">
        <v>133</v>
      </c>
      <c r="D443" s="1" t="s">
        <v>535</v>
      </c>
      <c r="E443" s="73">
        <f>E444</f>
        <v>155.6</v>
      </c>
      <c r="F443" s="25"/>
    </row>
    <row r="444" spans="1:6" s="22" customFormat="1" ht="21.75" customHeight="1">
      <c r="A444" s="117" t="s">
        <v>534</v>
      </c>
      <c r="B444" s="1" t="s">
        <v>340</v>
      </c>
      <c r="C444" s="2" t="s">
        <v>133</v>
      </c>
      <c r="D444" s="1" t="s">
        <v>533</v>
      </c>
      <c r="E444" s="73">
        <f>168-12.4</f>
        <v>155.6</v>
      </c>
      <c r="F444" s="25"/>
    </row>
    <row r="445" spans="1:6" s="22" customFormat="1" ht="28.5" customHeight="1">
      <c r="A445" s="15" t="s">
        <v>559</v>
      </c>
      <c r="B445" s="1" t="s">
        <v>340</v>
      </c>
      <c r="C445" s="5" t="s">
        <v>611</v>
      </c>
      <c r="D445" s="1" t="s">
        <v>335</v>
      </c>
      <c r="E445" s="73">
        <f>E446</f>
        <v>48691.1</v>
      </c>
      <c r="F445" s="25"/>
    </row>
    <row r="446" spans="1:6" s="22" customFormat="1" ht="39.75" customHeight="1">
      <c r="A446" s="123" t="s">
        <v>73</v>
      </c>
      <c r="B446" s="1" t="s">
        <v>340</v>
      </c>
      <c r="C446" s="2" t="s">
        <v>611</v>
      </c>
      <c r="D446" s="1" t="s">
        <v>550</v>
      </c>
      <c r="E446" s="73">
        <f>E447</f>
        <v>48691.1</v>
      </c>
      <c r="F446" s="25"/>
    </row>
    <row r="447" spans="1:6" s="22" customFormat="1" ht="92.25" customHeight="1">
      <c r="A447" s="117" t="s">
        <v>75</v>
      </c>
      <c r="B447" s="1" t="s">
        <v>340</v>
      </c>
      <c r="C447" s="2" t="s">
        <v>611</v>
      </c>
      <c r="D447" s="1" t="s">
        <v>72</v>
      </c>
      <c r="E447" s="73">
        <f>45675+16410-13431.4+37.5</f>
        <v>48691.1</v>
      </c>
      <c r="F447" s="25"/>
    </row>
    <row r="448" spans="1:6" s="22" customFormat="1" ht="30.75" customHeight="1">
      <c r="A448" s="123" t="s">
        <v>560</v>
      </c>
      <c r="B448" s="1" t="s">
        <v>340</v>
      </c>
      <c r="C448" s="2" t="s">
        <v>613</v>
      </c>
      <c r="D448" s="1" t="s">
        <v>335</v>
      </c>
      <c r="E448" s="73">
        <f>E449</f>
        <v>1200</v>
      </c>
      <c r="F448" s="25"/>
    </row>
    <row r="449" spans="1:6" s="22" customFormat="1" ht="33.75" customHeight="1">
      <c r="A449" s="35" t="s">
        <v>536</v>
      </c>
      <c r="B449" s="1" t="s">
        <v>340</v>
      </c>
      <c r="C449" s="5" t="s">
        <v>613</v>
      </c>
      <c r="D449" s="1" t="s">
        <v>535</v>
      </c>
      <c r="E449" s="73">
        <f>E450</f>
        <v>1200</v>
      </c>
      <c r="F449" s="25"/>
    </row>
    <row r="450" spans="1:6" s="22" customFormat="1" ht="20.25" customHeight="1">
      <c r="A450" s="117" t="s">
        <v>534</v>
      </c>
      <c r="B450" s="1" t="s">
        <v>340</v>
      </c>
      <c r="C450" s="2" t="s">
        <v>613</v>
      </c>
      <c r="D450" s="1" t="s">
        <v>533</v>
      </c>
      <c r="E450" s="73">
        <v>1200</v>
      </c>
      <c r="F450" s="25"/>
    </row>
    <row r="451" spans="1:6" s="22" customFormat="1" ht="67.5" customHeight="1">
      <c r="A451" s="116" t="s">
        <v>80</v>
      </c>
      <c r="B451" s="1" t="s">
        <v>340</v>
      </c>
      <c r="C451" s="32" t="s">
        <v>447</v>
      </c>
      <c r="D451" s="32" t="s">
        <v>335</v>
      </c>
      <c r="E451" s="40">
        <f>E452</f>
        <v>1608.2</v>
      </c>
      <c r="F451" s="40"/>
    </row>
    <row r="452" spans="1:6" s="22" customFormat="1" ht="30" customHeight="1">
      <c r="A452" s="123" t="s">
        <v>536</v>
      </c>
      <c r="B452" s="1" t="s">
        <v>340</v>
      </c>
      <c r="C452" s="2" t="s">
        <v>575</v>
      </c>
      <c r="D452" s="1" t="s">
        <v>535</v>
      </c>
      <c r="E452" s="73">
        <f>E453</f>
        <v>1608.2</v>
      </c>
      <c r="F452" s="25"/>
    </row>
    <row r="453" spans="1:6" s="22" customFormat="1" ht="20.25" customHeight="1">
      <c r="A453" s="15" t="s">
        <v>534</v>
      </c>
      <c r="B453" s="1" t="s">
        <v>340</v>
      </c>
      <c r="C453" s="5" t="s">
        <v>575</v>
      </c>
      <c r="D453" s="1" t="s">
        <v>533</v>
      </c>
      <c r="E453" s="73">
        <f>1795-170-16.8</f>
        <v>1608.2</v>
      </c>
      <c r="F453" s="25"/>
    </row>
    <row r="454" spans="1:6" s="22" customFormat="1" ht="30.75" customHeight="1">
      <c r="A454" s="130" t="s">
        <v>101</v>
      </c>
      <c r="B454" s="1" t="s">
        <v>340</v>
      </c>
      <c r="C454" s="32" t="s">
        <v>452</v>
      </c>
      <c r="D454" s="92" t="s">
        <v>335</v>
      </c>
      <c r="E454" s="79">
        <f>E455</f>
        <v>160</v>
      </c>
      <c r="F454" s="113"/>
    </row>
    <row r="455" spans="1:6" s="22" customFormat="1" ht="30" customHeight="1">
      <c r="A455" s="35" t="s">
        <v>536</v>
      </c>
      <c r="B455" s="1" t="s">
        <v>340</v>
      </c>
      <c r="C455" s="37" t="s">
        <v>579</v>
      </c>
      <c r="D455" s="36" t="s">
        <v>535</v>
      </c>
      <c r="E455" s="78">
        <f>E456</f>
        <v>160</v>
      </c>
      <c r="F455" s="113"/>
    </row>
    <row r="456" spans="1:6" s="22" customFormat="1" ht="20.25" customHeight="1">
      <c r="A456" s="116" t="s">
        <v>534</v>
      </c>
      <c r="B456" s="1" t="s">
        <v>340</v>
      </c>
      <c r="C456" s="32" t="s">
        <v>579</v>
      </c>
      <c r="D456" s="92" t="s">
        <v>533</v>
      </c>
      <c r="E456" s="79">
        <v>160</v>
      </c>
      <c r="F456" s="113"/>
    </row>
    <row r="457" spans="1:8" s="22" customFormat="1" ht="21" customHeight="1">
      <c r="A457" s="142" t="s">
        <v>348</v>
      </c>
      <c r="B457" s="63" t="s">
        <v>370</v>
      </c>
      <c r="C457" s="63" t="s">
        <v>358</v>
      </c>
      <c r="D457" s="63" t="s">
        <v>335</v>
      </c>
      <c r="E457" s="66">
        <f>E458+E612+E598+E617+E578+E588+E604</f>
        <v>2313545.3</v>
      </c>
      <c r="F457" s="66">
        <f>F458+F612+F598+F617+F578+F588+F604</f>
        <v>1632988.2999999998</v>
      </c>
      <c r="H457" s="89"/>
    </row>
    <row r="458" spans="1:6" s="22" customFormat="1" ht="52.5" customHeight="1">
      <c r="A458" s="41" t="s">
        <v>58</v>
      </c>
      <c r="B458" s="6" t="s">
        <v>370</v>
      </c>
      <c r="C458" s="5" t="s">
        <v>490</v>
      </c>
      <c r="D458" s="1" t="s">
        <v>335</v>
      </c>
      <c r="E458" s="66">
        <f>E459+E565</f>
        <v>2064098.1999999997</v>
      </c>
      <c r="F458" s="66">
        <f>F459+F565</f>
        <v>1623196.9999999998</v>
      </c>
    </row>
    <row r="459" spans="1:6" s="22" customFormat="1" ht="16.5" customHeight="1">
      <c r="A459" s="35" t="s">
        <v>561</v>
      </c>
      <c r="B459" s="6" t="s">
        <v>370</v>
      </c>
      <c r="C459" s="5" t="s">
        <v>491</v>
      </c>
      <c r="D459" s="1" t="s">
        <v>335</v>
      </c>
      <c r="E459" s="66">
        <f>E465+E511+E472+E475+E481+E486+E489+E494+E499+E507+E460+E504</f>
        <v>1926454.7999999998</v>
      </c>
      <c r="F459" s="66">
        <f>F465+F511+F472+F475+F481+F486+F489+F494+F499+F507+F460+F504</f>
        <v>1622696.9999999998</v>
      </c>
    </row>
    <row r="460" spans="1:6" s="22" customFormat="1" ht="42.75" customHeight="1">
      <c r="A460" s="35" t="s">
        <v>237</v>
      </c>
      <c r="B460" s="6" t="s">
        <v>370</v>
      </c>
      <c r="C460" s="5" t="s">
        <v>283</v>
      </c>
      <c r="D460" s="1" t="s">
        <v>335</v>
      </c>
      <c r="E460" s="73">
        <f>E463+E461</f>
        <v>1850</v>
      </c>
      <c r="F460" s="73">
        <f>F463+F461</f>
        <v>1850</v>
      </c>
    </row>
    <row r="461" spans="1:6" s="22" customFormat="1" ht="18.75" customHeight="1">
      <c r="A461" s="34" t="s">
        <v>509</v>
      </c>
      <c r="B461" s="6" t="s">
        <v>370</v>
      </c>
      <c r="C461" s="5" t="s">
        <v>283</v>
      </c>
      <c r="D461" s="1" t="s">
        <v>508</v>
      </c>
      <c r="E461" s="73">
        <f>E462</f>
        <v>300</v>
      </c>
      <c r="F461" s="73">
        <f>F462</f>
        <v>300</v>
      </c>
    </row>
    <row r="462" spans="1:6" s="22" customFormat="1" ht="27.75" customHeight="1">
      <c r="A462" s="34" t="s">
        <v>511</v>
      </c>
      <c r="B462" s="6" t="s">
        <v>370</v>
      </c>
      <c r="C462" s="5" t="s">
        <v>283</v>
      </c>
      <c r="D462" s="1" t="s">
        <v>510</v>
      </c>
      <c r="E462" s="73">
        <v>300</v>
      </c>
      <c r="F462" s="73">
        <f>E462</f>
        <v>300</v>
      </c>
    </row>
    <row r="463" spans="1:6" s="22" customFormat="1" ht="32.25" customHeight="1">
      <c r="A463" s="35" t="s">
        <v>536</v>
      </c>
      <c r="B463" s="6" t="s">
        <v>370</v>
      </c>
      <c r="C463" s="5" t="s">
        <v>283</v>
      </c>
      <c r="D463" s="1" t="s">
        <v>535</v>
      </c>
      <c r="E463" s="73">
        <f>E464</f>
        <v>1550</v>
      </c>
      <c r="F463" s="73">
        <f>F464</f>
        <v>1550</v>
      </c>
    </row>
    <row r="464" spans="1:6" s="22" customFormat="1" ht="18" customHeight="1">
      <c r="A464" s="117" t="s">
        <v>534</v>
      </c>
      <c r="B464" s="1" t="s">
        <v>370</v>
      </c>
      <c r="C464" s="2" t="s">
        <v>283</v>
      </c>
      <c r="D464" s="1" t="s">
        <v>533</v>
      </c>
      <c r="E464" s="73">
        <f>1580-150+120</f>
        <v>1550</v>
      </c>
      <c r="F464" s="73">
        <f>E464</f>
        <v>1550</v>
      </c>
    </row>
    <row r="465" spans="1:6" s="22" customFormat="1" ht="129.75" customHeight="1">
      <c r="A465" s="99" t="s">
        <v>35</v>
      </c>
      <c r="B465" s="6" t="s">
        <v>370</v>
      </c>
      <c r="C465" s="86" t="s">
        <v>492</v>
      </c>
      <c r="D465" s="5" t="s">
        <v>335</v>
      </c>
      <c r="E465" s="30">
        <f>E466+E470+E468</f>
        <v>1470243.9999999998</v>
      </c>
      <c r="F465" s="30">
        <f>F466+F470+F468</f>
        <v>1470243.9999999998</v>
      </c>
    </row>
    <row r="466" spans="1:6" s="22" customFormat="1" ht="66.75" customHeight="1">
      <c r="A466" s="21" t="s">
        <v>522</v>
      </c>
      <c r="B466" s="6" t="s">
        <v>370</v>
      </c>
      <c r="C466" s="5" t="s">
        <v>492</v>
      </c>
      <c r="D466" s="5" t="s">
        <v>514</v>
      </c>
      <c r="E466" s="30">
        <f>E467</f>
        <v>139491.59999999998</v>
      </c>
      <c r="F466" s="30">
        <f>F467</f>
        <v>139491.59999999998</v>
      </c>
    </row>
    <row r="467" spans="1:6" s="22" customFormat="1" ht="20.25" customHeight="1">
      <c r="A467" s="21" t="s">
        <v>530</v>
      </c>
      <c r="B467" s="6" t="s">
        <v>370</v>
      </c>
      <c r="C467" s="5" t="s">
        <v>492</v>
      </c>
      <c r="D467" s="5" t="s">
        <v>523</v>
      </c>
      <c r="E467" s="30">
        <f>169156.5+365.8-30030.7</f>
        <v>139491.59999999998</v>
      </c>
      <c r="F467" s="30">
        <f>E467</f>
        <v>139491.59999999998</v>
      </c>
    </row>
    <row r="468" spans="1:6" s="22" customFormat="1" ht="20.25" customHeight="1">
      <c r="A468" s="34" t="s">
        <v>509</v>
      </c>
      <c r="B468" s="6" t="s">
        <v>370</v>
      </c>
      <c r="C468" s="5" t="s">
        <v>492</v>
      </c>
      <c r="D468" s="5" t="s">
        <v>508</v>
      </c>
      <c r="E468" s="30">
        <f>E469</f>
        <v>2505.2</v>
      </c>
      <c r="F468" s="30">
        <f>F469</f>
        <v>2505.2</v>
      </c>
    </row>
    <row r="469" spans="1:6" s="22" customFormat="1" ht="30" customHeight="1">
      <c r="A469" s="34" t="s">
        <v>511</v>
      </c>
      <c r="B469" s="6" t="s">
        <v>370</v>
      </c>
      <c r="C469" s="5" t="s">
        <v>492</v>
      </c>
      <c r="D469" s="5" t="s">
        <v>510</v>
      </c>
      <c r="E469" s="30">
        <f>2376.1+129.1</f>
        <v>2505.2</v>
      </c>
      <c r="F469" s="30">
        <f>E469</f>
        <v>2505.2</v>
      </c>
    </row>
    <row r="470" spans="1:6" s="22" customFormat="1" ht="32.25" customHeight="1">
      <c r="A470" s="35" t="s">
        <v>536</v>
      </c>
      <c r="B470" s="6" t="s">
        <v>370</v>
      </c>
      <c r="C470" s="5" t="s">
        <v>492</v>
      </c>
      <c r="D470" s="5" t="s">
        <v>535</v>
      </c>
      <c r="E470" s="30">
        <f>E471</f>
        <v>1328247.1999999997</v>
      </c>
      <c r="F470" s="30">
        <f>F471</f>
        <v>1328247.1999999997</v>
      </c>
    </row>
    <row r="471" spans="1:6" s="22" customFormat="1" ht="21" customHeight="1">
      <c r="A471" s="117" t="s">
        <v>534</v>
      </c>
      <c r="B471" s="1" t="s">
        <v>370</v>
      </c>
      <c r="C471" s="2" t="s">
        <v>492</v>
      </c>
      <c r="D471" s="2" t="s">
        <v>533</v>
      </c>
      <c r="E471" s="24">
        <f>1263158.5-365.8-2376.1+30030.7+37929-129.1</f>
        <v>1328247.1999999997</v>
      </c>
      <c r="F471" s="24">
        <f>E471</f>
        <v>1328247.1999999997</v>
      </c>
    </row>
    <row r="472" spans="1:6" s="22" customFormat="1" ht="146.25" customHeight="1">
      <c r="A472" s="99" t="s">
        <v>21</v>
      </c>
      <c r="B472" s="85" t="s">
        <v>370</v>
      </c>
      <c r="C472" s="87" t="s">
        <v>493</v>
      </c>
      <c r="D472" s="37" t="s">
        <v>335</v>
      </c>
      <c r="E472" s="30">
        <f>E474</f>
        <v>36751</v>
      </c>
      <c r="F472" s="30">
        <f>F474</f>
        <v>36751</v>
      </c>
    </row>
    <row r="473" spans="1:6" s="22" customFormat="1" ht="29.25" customHeight="1">
      <c r="A473" s="35" t="s">
        <v>536</v>
      </c>
      <c r="B473" s="85" t="s">
        <v>370</v>
      </c>
      <c r="C473" s="37" t="s">
        <v>493</v>
      </c>
      <c r="D473" s="37" t="s">
        <v>535</v>
      </c>
      <c r="E473" s="30">
        <f>E474</f>
        <v>36751</v>
      </c>
      <c r="F473" s="30">
        <f>F474</f>
        <v>36751</v>
      </c>
    </row>
    <row r="474" spans="1:6" s="22" customFormat="1" ht="30" customHeight="1">
      <c r="A474" s="122" t="s">
        <v>275</v>
      </c>
      <c r="B474" s="63" t="s">
        <v>370</v>
      </c>
      <c r="C474" s="32" t="s">
        <v>493</v>
      </c>
      <c r="D474" s="32" t="s">
        <v>325</v>
      </c>
      <c r="E474" s="24">
        <f>44510-7759</f>
        <v>36751</v>
      </c>
      <c r="F474" s="24">
        <f>E474</f>
        <v>36751</v>
      </c>
    </row>
    <row r="475" spans="1:6" s="22" customFormat="1" ht="69.75" customHeight="1">
      <c r="A475" s="8" t="s">
        <v>412</v>
      </c>
      <c r="B475" s="6" t="s">
        <v>370</v>
      </c>
      <c r="C475" s="86" t="s">
        <v>495</v>
      </c>
      <c r="D475" s="5" t="s">
        <v>335</v>
      </c>
      <c r="E475" s="30">
        <f>E476+E478</f>
        <v>54599</v>
      </c>
      <c r="F475" s="30">
        <f>F476+F478</f>
        <v>54599</v>
      </c>
    </row>
    <row r="476" spans="1:6" s="22" customFormat="1" ht="21.75" customHeight="1">
      <c r="A476" s="34" t="s">
        <v>509</v>
      </c>
      <c r="B476" s="6" t="s">
        <v>370</v>
      </c>
      <c r="C476" s="5" t="s">
        <v>495</v>
      </c>
      <c r="D476" s="5" t="s">
        <v>508</v>
      </c>
      <c r="E476" s="30">
        <f>E477</f>
        <v>2482</v>
      </c>
      <c r="F476" s="30">
        <f>F477</f>
        <v>2482</v>
      </c>
    </row>
    <row r="477" spans="1:6" s="22" customFormat="1" ht="30" customHeight="1">
      <c r="A477" s="118" t="s">
        <v>511</v>
      </c>
      <c r="B477" s="1" t="s">
        <v>370</v>
      </c>
      <c r="C477" s="2" t="s">
        <v>495</v>
      </c>
      <c r="D477" s="2" t="s">
        <v>510</v>
      </c>
      <c r="E477" s="24">
        <v>2482</v>
      </c>
      <c r="F477" s="24">
        <v>2482</v>
      </c>
    </row>
    <row r="478" spans="1:6" s="22" customFormat="1" ht="30" customHeight="1">
      <c r="A478" s="35" t="s">
        <v>536</v>
      </c>
      <c r="B478" s="6" t="s">
        <v>370</v>
      </c>
      <c r="C478" s="5" t="s">
        <v>495</v>
      </c>
      <c r="D478" s="5" t="s">
        <v>535</v>
      </c>
      <c r="E478" s="30">
        <f>E479+E480</f>
        <v>52117</v>
      </c>
      <c r="F478" s="30">
        <f>F479+F480</f>
        <v>52117</v>
      </c>
    </row>
    <row r="479" spans="1:6" s="22" customFormat="1" ht="21.75" customHeight="1">
      <c r="A479" s="117" t="s">
        <v>534</v>
      </c>
      <c r="B479" s="1" t="s">
        <v>370</v>
      </c>
      <c r="C479" s="2" t="s">
        <v>495</v>
      </c>
      <c r="D479" s="2" t="s">
        <v>533</v>
      </c>
      <c r="E479" s="24">
        <v>51490.7</v>
      </c>
      <c r="F479" s="24">
        <f>E479</f>
        <v>51490.7</v>
      </c>
    </row>
    <row r="480" spans="1:6" s="22" customFormat="1" ht="30" customHeight="1">
      <c r="A480" s="122" t="s">
        <v>275</v>
      </c>
      <c r="B480" s="1" t="s">
        <v>370</v>
      </c>
      <c r="C480" s="2" t="s">
        <v>495</v>
      </c>
      <c r="D480" s="2" t="s">
        <v>325</v>
      </c>
      <c r="E480" s="24">
        <v>626.3</v>
      </c>
      <c r="F480" s="24">
        <f>E480</f>
        <v>626.3</v>
      </c>
    </row>
    <row r="481" spans="1:6" s="22" customFormat="1" ht="65.25" customHeight="1">
      <c r="A481" s="8" t="s">
        <v>31</v>
      </c>
      <c r="B481" s="6" t="s">
        <v>370</v>
      </c>
      <c r="C481" s="86" t="s">
        <v>494</v>
      </c>
      <c r="D481" s="5" t="s">
        <v>335</v>
      </c>
      <c r="E481" s="30">
        <f>E485+E483</f>
        <v>980.0000000000001</v>
      </c>
      <c r="F481" s="30">
        <f>F485+F483</f>
        <v>980.0000000000001</v>
      </c>
    </row>
    <row r="482" spans="1:6" s="22" customFormat="1" ht="22.5" customHeight="1">
      <c r="A482" s="118" t="s">
        <v>509</v>
      </c>
      <c r="B482" s="1" t="s">
        <v>370</v>
      </c>
      <c r="C482" s="2" t="s">
        <v>494</v>
      </c>
      <c r="D482" s="2" t="s">
        <v>508</v>
      </c>
      <c r="E482" s="24">
        <f>E483</f>
        <v>358.80000000000007</v>
      </c>
      <c r="F482" s="24">
        <f>F483</f>
        <v>358.80000000000007</v>
      </c>
    </row>
    <row r="483" spans="1:6" s="22" customFormat="1" ht="27.75" customHeight="1">
      <c r="A483" s="34" t="s">
        <v>511</v>
      </c>
      <c r="B483" s="6" t="s">
        <v>370</v>
      </c>
      <c r="C483" s="5" t="s">
        <v>494</v>
      </c>
      <c r="D483" s="5" t="s">
        <v>510</v>
      </c>
      <c r="E483" s="30">
        <f>442.3-3-80.6+0.1</f>
        <v>358.80000000000007</v>
      </c>
      <c r="F483" s="30">
        <f>E483</f>
        <v>358.80000000000007</v>
      </c>
    </row>
    <row r="484" spans="1:6" s="22" customFormat="1" ht="27.75" customHeight="1">
      <c r="A484" s="123" t="s">
        <v>536</v>
      </c>
      <c r="B484" s="1" t="s">
        <v>370</v>
      </c>
      <c r="C484" s="2" t="s">
        <v>494</v>
      </c>
      <c r="D484" s="2" t="s">
        <v>535</v>
      </c>
      <c r="E484" s="24">
        <f>E485</f>
        <v>621.2</v>
      </c>
      <c r="F484" s="24">
        <f>F485</f>
        <v>621.2</v>
      </c>
    </row>
    <row r="485" spans="1:6" s="22" customFormat="1" ht="24" customHeight="1">
      <c r="A485" s="117" t="s">
        <v>534</v>
      </c>
      <c r="B485" s="1" t="s">
        <v>370</v>
      </c>
      <c r="C485" s="2" t="s">
        <v>494</v>
      </c>
      <c r="D485" s="2" t="s">
        <v>533</v>
      </c>
      <c r="E485" s="24">
        <f>647.7-110+3+80.6-0.1</f>
        <v>621.2</v>
      </c>
      <c r="F485" s="24">
        <f>E485</f>
        <v>621.2</v>
      </c>
    </row>
    <row r="486" spans="1:6" s="22" customFormat="1" ht="80.25" customHeight="1">
      <c r="A486" s="103" t="s">
        <v>32</v>
      </c>
      <c r="B486" s="36" t="s">
        <v>370</v>
      </c>
      <c r="C486" s="86" t="s">
        <v>496</v>
      </c>
      <c r="D486" s="37" t="s">
        <v>335</v>
      </c>
      <c r="E486" s="78">
        <f>E487</f>
        <v>8785</v>
      </c>
      <c r="F486" s="78">
        <f>F487</f>
        <v>8785</v>
      </c>
    </row>
    <row r="487" spans="1:6" s="22" customFormat="1" ht="30" customHeight="1">
      <c r="A487" s="123" t="s">
        <v>536</v>
      </c>
      <c r="B487" s="1" t="s">
        <v>370</v>
      </c>
      <c r="C487" s="2" t="s">
        <v>496</v>
      </c>
      <c r="D487" s="2" t="s">
        <v>535</v>
      </c>
      <c r="E487" s="24">
        <f>E488</f>
        <v>8785</v>
      </c>
      <c r="F487" s="24">
        <f>F488</f>
        <v>8785</v>
      </c>
    </row>
    <row r="488" spans="1:6" s="22" customFormat="1" ht="27" customHeight="1">
      <c r="A488" s="122" t="s">
        <v>275</v>
      </c>
      <c r="B488" s="1" t="s">
        <v>370</v>
      </c>
      <c r="C488" s="2" t="s">
        <v>496</v>
      </c>
      <c r="D488" s="2" t="s">
        <v>325</v>
      </c>
      <c r="E488" s="24">
        <f>13955-5170</f>
        <v>8785</v>
      </c>
      <c r="F488" s="24">
        <f>E488</f>
        <v>8785</v>
      </c>
    </row>
    <row r="489" spans="1:6" s="22" customFormat="1" ht="51" customHeight="1">
      <c r="A489" s="8" t="s">
        <v>36</v>
      </c>
      <c r="B489" s="2" t="s">
        <v>370</v>
      </c>
      <c r="C489" s="86" t="s">
        <v>497</v>
      </c>
      <c r="D489" s="2" t="s">
        <v>335</v>
      </c>
      <c r="E489" s="24">
        <f>E490+E492</f>
        <v>13739</v>
      </c>
      <c r="F489" s="24">
        <f>F490+F492</f>
        <v>13739</v>
      </c>
    </row>
    <row r="490" spans="1:6" s="22" customFormat="1" ht="66" customHeight="1">
      <c r="A490" s="20" t="s">
        <v>522</v>
      </c>
      <c r="B490" s="2" t="s">
        <v>370</v>
      </c>
      <c r="C490" s="2" t="s">
        <v>497</v>
      </c>
      <c r="D490" s="2" t="s">
        <v>514</v>
      </c>
      <c r="E490" s="24">
        <f>E491</f>
        <v>1117.7</v>
      </c>
      <c r="F490" s="24">
        <f>F491</f>
        <v>1117.7</v>
      </c>
    </row>
    <row r="491" spans="1:6" s="22" customFormat="1" ht="22.5" customHeight="1">
      <c r="A491" s="20" t="s">
        <v>530</v>
      </c>
      <c r="B491" s="2" t="s">
        <v>370</v>
      </c>
      <c r="C491" s="2" t="s">
        <v>497</v>
      </c>
      <c r="D491" s="2" t="s">
        <v>523</v>
      </c>
      <c r="E491" s="24">
        <v>1117.7</v>
      </c>
      <c r="F491" s="24">
        <v>1117.7</v>
      </c>
    </row>
    <row r="492" spans="1:6" s="22" customFormat="1" ht="30" customHeight="1">
      <c r="A492" s="123" t="s">
        <v>536</v>
      </c>
      <c r="B492" s="2" t="s">
        <v>370</v>
      </c>
      <c r="C492" s="2" t="s">
        <v>497</v>
      </c>
      <c r="D492" s="2" t="s">
        <v>535</v>
      </c>
      <c r="E492" s="24">
        <f>E493</f>
        <v>12621.3</v>
      </c>
      <c r="F492" s="24">
        <f>F493</f>
        <v>12621.3</v>
      </c>
    </row>
    <row r="493" spans="1:6" s="22" customFormat="1" ht="19.5" customHeight="1">
      <c r="A493" s="15" t="s">
        <v>534</v>
      </c>
      <c r="B493" s="2" t="s">
        <v>370</v>
      </c>
      <c r="C493" s="5" t="s">
        <v>497</v>
      </c>
      <c r="D493" s="2" t="s">
        <v>533</v>
      </c>
      <c r="E493" s="24">
        <v>12621.3</v>
      </c>
      <c r="F493" s="30">
        <v>12621.3</v>
      </c>
    </row>
    <row r="494" spans="1:6" s="22" customFormat="1" ht="65.25" customHeight="1">
      <c r="A494" s="8" t="s">
        <v>158</v>
      </c>
      <c r="B494" s="2" t="s">
        <v>370</v>
      </c>
      <c r="C494" s="84" t="s">
        <v>159</v>
      </c>
      <c r="D494" s="2" t="s">
        <v>335</v>
      </c>
      <c r="E494" s="24">
        <f>E497+E495</f>
        <v>1608</v>
      </c>
      <c r="F494" s="24">
        <f>F497+F495</f>
        <v>1608</v>
      </c>
    </row>
    <row r="495" spans="1:6" s="22" customFormat="1" ht="21.75" customHeight="1">
      <c r="A495" s="34" t="s">
        <v>509</v>
      </c>
      <c r="B495" s="2" t="s">
        <v>370</v>
      </c>
      <c r="C495" s="84" t="s">
        <v>159</v>
      </c>
      <c r="D495" s="2" t="s">
        <v>508</v>
      </c>
      <c r="E495" s="24">
        <f>E496</f>
        <v>237.6</v>
      </c>
      <c r="F495" s="24">
        <f>F496</f>
        <v>237.6</v>
      </c>
    </row>
    <row r="496" spans="1:6" s="22" customFormat="1" ht="29.25" customHeight="1">
      <c r="A496" s="34" t="s">
        <v>511</v>
      </c>
      <c r="B496" s="2" t="s">
        <v>370</v>
      </c>
      <c r="C496" s="84" t="s">
        <v>159</v>
      </c>
      <c r="D496" s="2" t="s">
        <v>510</v>
      </c>
      <c r="E496" s="24">
        <v>237.6</v>
      </c>
      <c r="F496" s="24">
        <f>E496</f>
        <v>237.6</v>
      </c>
    </row>
    <row r="497" spans="1:6" s="22" customFormat="1" ht="30" customHeight="1">
      <c r="A497" s="35" t="s">
        <v>536</v>
      </c>
      <c r="B497" s="2" t="s">
        <v>370</v>
      </c>
      <c r="C497" s="84" t="s">
        <v>159</v>
      </c>
      <c r="D497" s="2" t="s">
        <v>535</v>
      </c>
      <c r="E497" s="24">
        <f>E498</f>
        <v>1370.4</v>
      </c>
      <c r="F497" s="24">
        <f>F498</f>
        <v>1370.4</v>
      </c>
    </row>
    <row r="498" spans="1:6" s="22" customFormat="1" ht="20.25" customHeight="1">
      <c r="A498" s="15" t="s">
        <v>534</v>
      </c>
      <c r="B498" s="2" t="s">
        <v>370</v>
      </c>
      <c r="C498" s="84" t="s">
        <v>159</v>
      </c>
      <c r="D498" s="2" t="s">
        <v>533</v>
      </c>
      <c r="E498" s="24">
        <f>1608-237.6</f>
        <v>1370.4</v>
      </c>
      <c r="F498" s="24">
        <f>E498</f>
        <v>1370.4</v>
      </c>
    </row>
    <row r="499" spans="1:6" s="22" customFormat="1" ht="42" customHeight="1">
      <c r="A499" s="15" t="s">
        <v>160</v>
      </c>
      <c r="B499" s="2" t="s">
        <v>370</v>
      </c>
      <c r="C499" s="84" t="s">
        <v>161</v>
      </c>
      <c r="D499" s="2" t="s">
        <v>335</v>
      </c>
      <c r="E499" s="24">
        <f>E502+E500</f>
        <v>1641</v>
      </c>
      <c r="F499" s="24">
        <f>F502+F500</f>
        <v>1641</v>
      </c>
    </row>
    <row r="500" spans="1:6" s="22" customFormat="1" ht="25.5" customHeight="1">
      <c r="A500" s="34" t="s">
        <v>509</v>
      </c>
      <c r="B500" s="2" t="s">
        <v>370</v>
      </c>
      <c r="C500" s="84" t="s">
        <v>161</v>
      </c>
      <c r="D500" s="2" t="s">
        <v>508</v>
      </c>
      <c r="E500" s="24">
        <f>E501</f>
        <v>359</v>
      </c>
      <c r="F500" s="24">
        <f>F501</f>
        <v>359</v>
      </c>
    </row>
    <row r="501" spans="1:6" s="22" customFormat="1" ht="30.75" customHeight="1">
      <c r="A501" s="34" t="s">
        <v>511</v>
      </c>
      <c r="B501" s="2" t="s">
        <v>370</v>
      </c>
      <c r="C501" s="84" t="s">
        <v>161</v>
      </c>
      <c r="D501" s="2" t="s">
        <v>510</v>
      </c>
      <c r="E501" s="24">
        <f>359</f>
        <v>359</v>
      </c>
      <c r="F501" s="24">
        <f>359</f>
        <v>359</v>
      </c>
    </row>
    <row r="502" spans="1:6" s="22" customFormat="1" ht="32.25" customHeight="1">
      <c r="A502" s="35" t="s">
        <v>536</v>
      </c>
      <c r="B502" s="2" t="s">
        <v>370</v>
      </c>
      <c r="C502" s="84" t="s">
        <v>161</v>
      </c>
      <c r="D502" s="2" t="s">
        <v>535</v>
      </c>
      <c r="E502" s="24">
        <f>E503</f>
        <v>1282</v>
      </c>
      <c r="F502" s="24">
        <f>F503</f>
        <v>1282</v>
      </c>
    </row>
    <row r="503" spans="1:6" s="22" customFormat="1" ht="21" customHeight="1">
      <c r="A503" s="15" t="s">
        <v>534</v>
      </c>
      <c r="B503" s="2" t="s">
        <v>370</v>
      </c>
      <c r="C503" s="84" t="s">
        <v>161</v>
      </c>
      <c r="D503" s="2" t="s">
        <v>533</v>
      </c>
      <c r="E503" s="24">
        <f>1282-521+521</f>
        <v>1282</v>
      </c>
      <c r="F503" s="24">
        <f>E503</f>
        <v>1282</v>
      </c>
    </row>
    <row r="504" spans="1:6" s="22" customFormat="1" ht="42" customHeight="1">
      <c r="A504" s="15" t="s">
        <v>298</v>
      </c>
      <c r="B504" s="2" t="s">
        <v>370</v>
      </c>
      <c r="C504" s="84" t="s">
        <v>299</v>
      </c>
      <c r="D504" s="2" t="s">
        <v>335</v>
      </c>
      <c r="E504" s="24">
        <f>E505</f>
        <v>29500</v>
      </c>
      <c r="F504" s="24">
        <f>F505</f>
        <v>29500</v>
      </c>
    </row>
    <row r="505" spans="1:6" s="22" customFormat="1" ht="28.5" customHeight="1">
      <c r="A505" s="35" t="s">
        <v>536</v>
      </c>
      <c r="B505" s="2" t="s">
        <v>370</v>
      </c>
      <c r="C505" s="84" t="s">
        <v>299</v>
      </c>
      <c r="D505" s="2" t="s">
        <v>535</v>
      </c>
      <c r="E505" s="24">
        <f>E506</f>
        <v>29500</v>
      </c>
      <c r="F505" s="24">
        <f>F506</f>
        <v>29500</v>
      </c>
    </row>
    <row r="506" spans="1:6" s="22" customFormat="1" ht="21" customHeight="1">
      <c r="A506" s="15" t="s">
        <v>534</v>
      </c>
      <c r="B506" s="2" t="s">
        <v>370</v>
      </c>
      <c r="C506" s="84" t="s">
        <v>299</v>
      </c>
      <c r="D506" s="2" t="s">
        <v>533</v>
      </c>
      <c r="E506" s="24">
        <f>29500</f>
        <v>29500</v>
      </c>
      <c r="F506" s="24">
        <f>E506</f>
        <v>29500</v>
      </c>
    </row>
    <row r="507" spans="1:11" s="31" customFormat="1" ht="39" customHeight="1">
      <c r="A507" s="15" t="s">
        <v>234</v>
      </c>
      <c r="B507" s="2" t="s">
        <v>370</v>
      </c>
      <c r="C507" s="5" t="s">
        <v>235</v>
      </c>
      <c r="D507" s="2" t="s">
        <v>335</v>
      </c>
      <c r="E507" s="24">
        <f>E508</f>
        <v>3000</v>
      </c>
      <c r="F507" s="24">
        <f>F508</f>
        <v>3000</v>
      </c>
      <c r="G507" s="39"/>
      <c r="H507" s="39"/>
      <c r="I507" s="39"/>
      <c r="J507" s="39"/>
      <c r="K507" s="39"/>
    </row>
    <row r="508" spans="1:11" s="31" customFormat="1" ht="31.5" customHeight="1">
      <c r="A508" s="35" t="s">
        <v>536</v>
      </c>
      <c r="B508" s="2" t="s">
        <v>370</v>
      </c>
      <c r="C508" s="5" t="s">
        <v>235</v>
      </c>
      <c r="D508" s="2" t="s">
        <v>535</v>
      </c>
      <c r="E508" s="24">
        <f>E509</f>
        <v>3000</v>
      </c>
      <c r="F508" s="24">
        <f>F509</f>
        <v>3000</v>
      </c>
      <c r="G508" s="39"/>
      <c r="H508" s="39"/>
      <c r="I508" s="39"/>
      <c r="J508" s="39"/>
      <c r="K508" s="39"/>
    </row>
    <row r="509" spans="1:11" s="31" customFormat="1" ht="23.25" customHeight="1">
      <c r="A509" s="15" t="s">
        <v>534</v>
      </c>
      <c r="B509" s="2" t="s">
        <v>370</v>
      </c>
      <c r="C509" s="5" t="s">
        <v>235</v>
      </c>
      <c r="D509" s="2" t="s">
        <v>533</v>
      </c>
      <c r="E509" s="24">
        <v>3000</v>
      </c>
      <c r="F509" s="24">
        <f>E509</f>
        <v>3000</v>
      </c>
      <c r="G509" s="39"/>
      <c r="H509" s="39"/>
      <c r="I509" s="39"/>
      <c r="J509" s="39"/>
      <c r="K509" s="39"/>
    </row>
    <row r="510" spans="1:11" s="31" customFormat="1" ht="24.75" customHeight="1">
      <c r="A510" s="35" t="s">
        <v>561</v>
      </c>
      <c r="B510" s="2" t="s">
        <v>370</v>
      </c>
      <c r="C510" s="5" t="s">
        <v>491</v>
      </c>
      <c r="D510" s="1" t="s">
        <v>335</v>
      </c>
      <c r="E510" s="24">
        <f>E511</f>
        <v>303757.80000000005</v>
      </c>
      <c r="F510" s="30"/>
      <c r="G510" s="39"/>
      <c r="H510" s="39"/>
      <c r="I510" s="39"/>
      <c r="J510" s="39"/>
      <c r="K510" s="39"/>
    </row>
    <row r="511" spans="1:6" s="22" customFormat="1" ht="19.5" customHeight="1">
      <c r="A511" s="93" t="s">
        <v>348</v>
      </c>
      <c r="B511" s="32" t="s">
        <v>370</v>
      </c>
      <c r="C511" s="37" t="s">
        <v>491</v>
      </c>
      <c r="D511" s="37" t="s">
        <v>335</v>
      </c>
      <c r="E511" s="24">
        <f>E512+E537+E546+E552+E557+E560+E543</f>
        <v>303757.80000000005</v>
      </c>
      <c r="F511" s="30"/>
    </row>
    <row r="512" spans="1:6" s="22" customFormat="1" ht="20.25" customHeight="1">
      <c r="A512" s="35" t="s">
        <v>562</v>
      </c>
      <c r="B512" s="32" t="s">
        <v>370</v>
      </c>
      <c r="C512" s="37" t="s">
        <v>491</v>
      </c>
      <c r="D512" s="37" t="s">
        <v>335</v>
      </c>
      <c r="E512" s="79">
        <f>E513+E522+E527+E532</f>
        <v>43774.6</v>
      </c>
      <c r="F512" s="78"/>
    </row>
    <row r="513" spans="1:6" s="22" customFormat="1" ht="21" customHeight="1">
      <c r="A513" s="123" t="s">
        <v>562</v>
      </c>
      <c r="B513" s="32" t="s">
        <v>370</v>
      </c>
      <c r="C513" s="32" t="s">
        <v>582</v>
      </c>
      <c r="D513" s="32" t="s">
        <v>335</v>
      </c>
      <c r="E513" s="79">
        <f>E514+E516+E520+E518+E540</f>
        <v>30237.2</v>
      </c>
      <c r="F513" s="79"/>
    </row>
    <row r="514" spans="1:6" s="22" customFormat="1" ht="72" customHeight="1">
      <c r="A514" s="20" t="s">
        <v>522</v>
      </c>
      <c r="B514" s="2" t="s">
        <v>370</v>
      </c>
      <c r="C514" s="2" t="s">
        <v>582</v>
      </c>
      <c r="D514" s="2" t="s">
        <v>514</v>
      </c>
      <c r="E514" s="24">
        <f>E515</f>
        <v>756.2</v>
      </c>
      <c r="F514" s="24"/>
    </row>
    <row r="515" spans="1:6" s="22" customFormat="1" ht="21" customHeight="1">
      <c r="A515" s="21" t="s">
        <v>530</v>
      </c>
      <c r="B515" s="2" t="s">
        <v>370</v>
      </c>
      <c r="C515" s="5" t="s">
        <v>582</v>
      </c>
      <c r="D515" s="5" t="s">
        <v>523</v>
      </c>
      <c r="E515" s="24">
        <v>756.2</v>
      </c>
      <c r="F515" s="30"/>
    </row>
    <row r="516" spans="1:6" s="22" customFormat="1" ht="26.25" customHeight="1">
      <c r="A516" s="34" t="s">
        <v>509</v>
      </c>
      <c r="B516" s="2" t="s">
        <v>370</v>
      </c>
      <c r="C516" s="5" t="s">
        <v>582</v>
      </c>
      <c r="D516" s="5" t="s">
        <v>508</v>
      </c>
      <c r="E516" s="24">
        <f>E517</f>
        <v>24312.5</v>
      </c>
      <c r="F516" s="30"/>
    </row>
    <row r="517" spans="1:6" s="22" customFormat="1" ht="29.25" customHeight="1">
      <c r="A517" s="118" t="s">
        <v>511</v>
      </c>
      <c r="B517" s="2" t="s">
        <v>370</v>
      </c>
      <c r="C517" s="2" t="s">
        <v>582</v>
      </c>
      <c r="D517" s="2" t="s">
        <v>510</v>
      </c>
      <c r="E517" s="24">
        <f>24428.3-20-160.8-332-1.1-5-30.6-2-27.2-53-84.7+98.8-75+2+31.8+20-875.4-7+428.3+83.4+892.8+0.9</f>
        <v>24312.5</v>
      </c>
      <c r="F517" s="24"/>
    </row>
    <row r="518" spans="1:6" s="22" customFormat="1" ht="19.5" customHeight="1">
      <c r="A518" s="9" t="s">
        <v>549</v>
      </c>
      <c r="B518" s="2" t="s">
        <v>370</v>
      </c>
      <c r="C518" s="2" t="s">
        <v>582</v>
      </c>
      <c r="D518" s="2" t="s">
        <v>547</v>
      </c>
      <c r="E518" s="24">
        <f>E519</f>
        <v>415.9</v>
      </c>
      <c r="F518" s="24"/>
    </row>
    <row r="519" spans="1:6" s="22" customFormat="1" ht="27" customHeight="1">
      <c r="A519" s="8" t="s">
        <v>282</v>
      </c>
      <c r="B519" s="2" t="s">
        <v>370</v>
      </c>
      <c r="C519" s="5" t="s">
        <v>582</v>
      </c>
      <c r="D519" s="5" t="s">
        <v>281</v>
      </c>
      <c r="E519" s="24">
        <f>332+123.9-14-2-6-18</f>
        <v>415.9</v>
      </c>
      <c r="F519" s="30"/>
    </row>
    <row r="520" spans="1:6" s="22" customFormat="1" ht="24" customHeight="1">
      <c r="A520" s="118" t="s">
        <v>513</v>
      </c>
      <c r="B520" s="2" t="s">
        <v>370</v>
      </c>
      <c r="C520" s="2" t="s">
        <v>582</v>
      </c>
      <c r="D520" s="2" t="s">
        <v>512</v>
      </c>
      <c r="E520" s="24">
        <f>E521</f>
        <v>3702.5999999999995</v>
      </c>
      <c r="F520" s="24"/>
    </row>
    <row r="521" spans="1:6" s="22" customFormat="1" ht="15.75" customHeight="1">
      <c r="A521" s="118" t="s">
        <v>532</v>
      </c>
      <c r="B521" s="2" t="s">
        <v>370</v>
      </c>
      <c r="C521" s="2" t="s">
        <v>582</v>
      </c>
      <c r="D521" s="2" t="s">
        <v>531</v>
      </c>
      <c r="E521" s="24">
        <f>2291+1.1+5+30.6+1379.9+2+27.2+53+84.7-84.8+70.8+4.2-25.8-122.6+0.3-14</f>
        <v>3702.5999999999995</v>
      </c>
      <c r="F521" s="24"/>
    </row>
    <row r="522" spans="1:6" s="22" customFormat="1" ht="57" customHeight="1">
      <c r="A522" s="34" t="s">
        <v>563</v>
      </c>
      <c r="B522" s="2" t="s">
        <v>370</v>
      </c>
      <c r="C522" s="5" t="s">
        <v>618</v>
      </c>
      <c r="D522" s="5" t="s">
        <v>335</v>
      </c>
      <c r="E522" s="24">
        <f>E523+E525</f>
        <v>5896</v>
      </c>
      <c r="F522" s="30"/>
    </row>
    <row r="523" spans="1:6" s="22" customFormat="1" ht="24" customHeight="1">
      <c r="A523" s="34" t="s">
        <v>509</v>
      </c>
      <c r="B523" s="2" t="s">
        <v>370</v>
      </c>
      <c r="C523" s="5" t="s">
        <v>618</v>
      </c>
      <c r="D523" s="1" t="s">
        <v>508</v>
      </c>
      <c r="E523" s="24">
        <f>E524</f>
        <v>1071.8</v>
      </c>
      <c r="F523" s="30"/>
    </row>
    <row r="524" spans="1:6" s="22" customFormat="1" ht="30.75" customHeight="1">
      <c r="A524" s="34" t="s">
        <v>511</v>
      </c>
      <c r="B524" s="2" t="s">
        <v>370</v>
      </c>
      <c r="C524" s="5" t="s">
        <v>618</v>
      </c>
      <c r="D524" s="1" t="s">
        <v>510</v>
      </c>
      <c r="E524" s="24">
        <f>1391-319.2</f>
        <v>1071.8</v>
      </c>
      <c r="F524" s="30"/>
    </row>
    <row r="525" spans="1:6" s="22" customFormat="1" ht="30.75" customHeight="1">
      <c r="A525" s="123" t="s">
        <v>536</v>
      </c>
      <c r="B525" s="2" t="s">
        <v>370</v>
      </c>
      <c r="C525" s="2" t="s">
        <v>618</v>
      </c>
      <c r="D525" s="1" t="s">
        <v>535</v>
      </c>
      <c r="E525" s="24">
        <f>E526</f>
        <v>4824.2</v>
      </c>
      <c r="F525" s="24"/>
    </row>
    <row r="526" spans="1:6" s="22" customFormat="1" ht="25.5" customHeight="1">
      <c r="A526" s="15" t="s">
        <v>534</v>
      </c>
      <c r="B526" s="2" t="s">
        <v>370</v>
      </c>
      <c r="C526" s="5" t="s">
        <v>618</v>
      </c>
      <c r="D526" s="1" t="s">
        <v>533</v>
      </c>
      <c r="E526" s="24">
        <f>4968-143.8</f>
        <v>4824.2</v>
      </c>
      <c r="F526" s="30"/>
    </row>
    <row r="527" spans="1:6" s="22" customFormat="1" ht="32.25" customHeight="1">
      <c r="A527" s="123" t="s">
        <v>564</v>
      </c>
      <c r="B527" s="2" t="s">
        <v>370</v>
      </c>
      <c r="C527" s="2" t="s">
        <v>614</v>
      </c>
      <c r="D527" s="1" t="s">
        <v>335</v>
      </c>
      <c r="E527" s="24">
        <f>E528+E530</f>
        <v>3192</v>
      </c>
      <c r="F527" s="24"/>
    </row>
    <row r="528" spans="1:6" s="22" customFormat="1" ht="18" customHeight="1">
      <c r="A528" s="118" t="s">
        <v>509</v>
      </c>
      <c r="B528" s="2" t="s">
        <v>370</v>
      </c>
      <c r="C528" s="2" t="s">
        <v>614</v>
      </c>
      <c r="D528" s="1" t="s">
        <v>508</v>
      </c>
      <c r="E528" s="24">
        <f>E529</f>
        <v>369.4</v>
      </c>
      <c r="F528" s="24"/>
    </row>
    <row r="529" spans="1:6" s="22" customFormat="1" ht="34.5" customHeight="1">
      <c r="A529" s="118" t="s">
        <v>511</v>
      </c>
      <c r="B529" s="2" t="s">
        <v>370</v>
      </c>
      <c r="C529" s="2" t="s">
        <v>614</v>
      </c>
      <c r="D529" s="1" t="s">
        <v>510</v>
      </c>
      <c r="E529" s="24">
        <f>312+20+21-26.8+23.6+7.9+11.7</f>
        <v>369.4</v>
      </c>
      <c r="F529" s="24"/>
    </row>
    <row r="530" spans="1:6" s="22" customFormat="1" ht="29.25" customHeight="1">
      <c r="A530" s="123" t="s">
        <v>536</v>
      </c>
      <c r="B530" s="2" t="s">
        <v>370</v>
      </c>
      <c r="C530" s="2" t="s">
        <v>614</v>
      </c>
      <c r="D530" s="1" t="s">
        <v>535</v>
      </c>
      <c r="E530" s="24">
        <f>E531</f>
        <v>2822.6</v>
      </c>
      <c r="F530" s="24"/>
    </row>
    <row r="531" spans="1:6" s="22" customFormat="1" ht="20.25" customHeight="1">
      <c r="A531" s="117" t="s">
        <v>534</v>
      </c>
      <c r="B531" s="2" t="s">
        <v>370</v>
      </c>
      <c r="C531" s="2" t="s">
        <v>614</v>
      </c>
      <c r="D531" s="1" t="s">
        <v>533</v>
      </c>
      <c r="E531" s="24">
        <f>1752+1108-21-16.4</f>
        <v>2822.6</v>
      </c>
      <c r="F531" s="24"/>
    </row>
    <row r="532" spans="1:6" s="22" customFormat="1" ht="33.75" customHeight="1">
      <c r="A532" s="35" t="s">
        <v>565</v>
      </c>
      <c r="B532" s="2" t="s">
        <v>370</v>
      </c>
      <c r="C532" s="5" t="s">
        <v>615</v>
      </c>
      <c r="D532" s="1" t="s">
        <v>335</v>
      </c>
      <c r="E532" s="24">
        <f>E533+E535</f>
        <v>4449.400000000001</v>
      </c>
      <c r="F532" s="30"/>
    </row>
    <row r="533" spans="1:6" s="22" customFormat="1" ht="20.25" customHeight="1">
      <c r="A533" s="34" t="s">
        <v>509</v>
      </c>
      <c r="B533" s="2" t="s">
        <v>370</v>
      </c>
      <c r="C533" s="5" t="s">
        <v>615</v>
      </c>
      <c r="D533" s="1" t="s">
        <v>508</v>
      </c>
      <c r="E533" s="24">
        <f>E534</f>
        <v>298.6</v>
      </c>
      <c r="F533" s="30"/>
    </row>
    <row r="534" spans="1:6" s="22" customFormat="1" ht="27.75" customHeight="1">
      <c r="A534" s="118" t="s">
        <v>511</v>
      </c>
      <c r="B534" s="2" t="s">
        <v>370</v>
      </c>
      <c r="C534" s="2" t="s">
        <v>615</v>
      </c>
      <c r="D534" s="1" t="s">
        <v>510</v>
      </c>
      <c r="E534" s="24">
        <f>348.1-49.5</f>
        <v>298.6</v>
      </c>
      <c r="F534" s="24"/>
    </row>
    <row r="535" spans="1:6" s="22" customFormat="1" ht="27.75" customHeight="1">
      <c r="A535" s="123" t="s">
        <v>536</v>
      </c>
      <c r="B535" s="2" t="s">
        <v>370</v>
      </c>
      <c r="C535" s="2" t="s">
        <v>615</v>
      </c>
      <c r="D535" s="1" t="s">
        <v>535</v>
      </c>
      <c r="E535" s="24">
        <f>E536</f>
        <v>4150.8</v>
      </c>
      <c r="F535" s="24"/>
    </row>
    <row r="536" spans="1:6" s="22" customFormat="1" ht="27.75" customHeight="1">
      <c r="A536" s="15" t="s">
        <v>534</v>
      </c>
      <c r="B536" s="2" t="s">
        <v>370</v>
      </c>
      <c r="C536" s="5" t="s">
        <v>615</v>
      </c>
      <c r="D536" s="1" t="s">
        <v>533</v>
      </c>
      <c r="E536" s="24">
        <v>4150.8</v>
      </c>
      <c r="F536" s="30"/>
    </row>
    <row r="537" spans="1:6" s="22" customFormat="1" ht="32.25" customHeight="1">
      <c r="A537" s="117" t="s">
        <v>566</v>
      </c>
      <c r="B537" s="2" t="s">
        <v>370</v>
      </c>
      <c r="C537" s="2" t="s">
        <v>583</v>
      </c>
      <c r="D537" s="1" t="s">
        <v>335</v>
      </c>
      <c r="E537" s="24">
        <f>E538</f>
        <v>160221</v>
      </c>
      <c r="F537" s="24"/>
    </row>
    <row r="538" spans="1:6" s="22" customFormat="1" ht="32.25" customHeight="1">
      <c r="A538" s="35" t="s">
        <v>536</v>
      </c>
      <c r="B538" s="2" t="s">
        <v>370</v>
      </c>
      <c r="C538" s="5" t="s">
        <v>583</v>
      </c>
      <c r="D538" s="1" t="s">
        <v>535</v>
      </c>
      <c r="E538" s="24">
        <f>E539</f>
        <v>160221</v>
      </c>
      <c r="F538" s="30"/>
    </row>
    <row r="539" spans="1:6" s="22" customFormat="1" ht="27" customHeight="1">
      <c r="A539" s="117" t="s">
        <v>534</v>
      </c>
      <c r="B539" s="2" t="s">
        <v>370</v>
      </c>
      <c r="C539" s="2" t="s">
        <v>583</v>
      </c>
      <c r="D539" s="1" t="s">
        <v>533</v>
      </c>
      <c r="E539" s="24">
        <f>153374.1-935.6+160.8-123.9-1379.9+509+687.7+7805-20+143.8</f>
        <v>160221</v>
      </c>
      <c r="F539" s="24"/>
    </row>
    <row r="540" spans="1:6" s="22" customFormat="1" ht="28.5" customHeight="1">
      <c r="A540" s="117" t="s">
        <v>272</v>
      </c>
      <c r="B540" s="2" t="s">
        <v>370</v>
      </c>
      <c r="C540" s="5" t="s">
        <v>231</v>
      </c>
      <c r="D540" s="1" t="s">
        <v>335</v>
      </c>
      <c r="E540" s="24">
        <f>E541</f>
        <v>1050</v>
      </c>
      <c r="F540" s="30"/>
    </row>
    <row r="541" spans="1:6" s="22" customFormat="1" ht="21" customHeight="1">
      <c r="A541" s="34" t="s">
        <v>509</v>
      </c>
      <c r="B541" s="2" t="s">
        <v>370</v>
      </c>
      <c r="C541" s="5" t="s">
        <v>231</v>
      </c>
      <c r="D541" s="1" t="s">
        <v>508</v>
      </c>
      <c r="E541" s="24">
        <f>E542</f>
        <v>1050</v>
      </c>
      <c r="F541" s="30"/>
    </row>
    <row r="542" spans="1:6" s="22" customFormat="1" ht="27" customHeight="1">
      <c r="A542" s="118" t="s">
        <v>511</v>
      </c>
      <c r="B542" s="2" t="s">
        <v>370</v>
      </c>
      <c r="C542" s="5" t="s">
        <v>231</v>
      </c>
      <c r="D542" s="1" t="s">
        <v>510</v>
      </c>
      <c r="E542" s="24">
        <f>1050</f>
        <v>1050</v>
      </c>
      <c r="F542" s="30"/>
    </row>
    <row r="543" spans="1:6" s="22" customFormat="1" ht="41.25" customHeight="1">
      <c r="A543" s="117" t="s">
        <v>165</v>
      </c>
      <c r="B543" s="2" t="s">
        <v>370</v>
      </c>
      <c r="C543" s="5" t="s">
        <v>164</v>
      </c>
      <c r="D543" s="1" t="s">
        <v>335</v>
      </c>
      <c r="E543" s="24">
        <f>E544</f>
        <v>600</v>
      </c>
      <c r="F543" s="30"/>
    </row>
    <row r="544" spans="1:6" s="22" customFormat="1" ht="27" customHeight="1">
      <c r="A544" s="35" t="s">
        <v>536</v>
      </c>
      <c r="B544" s="2" t="s">
        <v>370</v>
      </c>
      <c r="C544" s="5" t="s">
        <v>164</v>
      </c>
      <c r="D544" s="1" t="s">
        <v>535</v>
      </c>
      <c r="E544" s="24">
        <f>E545</f>
        <v>600</v>
      </c>
      <c r="F544" s="30"/>
    </row>
    <row r="545" spans="1:6" s="22" customFormat="1" ht="22.5" customHeight="1">
      <c r="A545" s="117" t="s">
        <v>534</v>
      </c>
      <c r="B545" s="2" t="s">
        <v>370</v>
      </c>
      <c r="C545" s="2" t="s">
        <v>164</v>
      </c>
      <c r="D545" s="1" t="s">
        <v>533</v>
      </c>
      <c r="E545" s="24">
        <v>600</v>
      </c>
      <c r="F545" s="24"/>
    </row>
    <row r="546" spans="1:6" s="22" customFormat="1" ht="25.5" customHeight="1">
      <c r="A546" s="15" t="s">
        <v>558</v>
      </c>
      <c r="B546" s="2" t="s">
        <v>370</v>
      </c>
      <c r="C546" s="5" t="s">
        <v>594</v>
      </c>
      <c r="D546" s="92" t="s">
        <v>335</v>
      </c>
      <c r="E546" s="24">
        <f>E549+E547</f>
        <v>2687.0000000000005</v>
      </c>
      <c r="F546" s="30"/>
    </row>
    <row r="547" spans="1:6" s="22" customFormat="1" ht="21" customHeight="1">
      <c r="A547" s="34" t="s">
        <v>509</v>
      </c>
      <c r="B547" s="2" t="s">
        <v>370</v>
      </c>
      <c r="C547" s="5" t="s">
        <v>594</v>
      </c>
      <c r="D547" s="92" t="s">
        <v>508</v>
      </c>
      <c r="E547" s="24">
        <f>E548</f>
        <v>148.29999999999998</v>
      </c>
      <c r="F547" s="30"/>
    </row>
    <row r="548" spans="1:6" s="22" customFormat="1" ht="29.25" customHeight="1">
      <c r="A548" s="34" t="s">
        <v>511</v>
      </c>
      <c r="B548" s="2" t="s">
        <v>370</v>
      </c>
      <c r="C548" s="5" t="s">
        <v>594</v>
      </c>
      <c r="D548" s="92" t="s">
        <v>510</v>
      </c>
      <c r="E548" s="24">
        <f>2.3+3.1+3+6.6+2.3+23.1+19.7+4.6+3+50+13.5+17.1</f>
        <v>148.29999999999998</v>
      </c>
      <c r="F548" s="30"/>
    </row>
    <row r="549" spans="1:6" s="22" customFormat="1" ht="32.25" customHeight="1">
      <c r="A549" s="35" t="s">
        <v>536</v>
      </c>
      <c r="B549" s="2" t="s">
        <v>370</v>
      </c>
      <c r="C549" s="5" t="s">
        <v>594</v>
      </c>
      <c r="D549" s="1" t="s">
        <v>535</v>
      </c>
      <c r="E549" s="24">
        <f>E550+E551</f>
        <v>2538.7000000000003</v>
      </c>
      <c r="F549" s="30"/>
    </row>
    <row r="550" spans="1:6" s="22" customFormat="1" ht="24.75" customHeight="1">
      <c r="A550" s="15" t="s">
        <v>534</v>
      </c>
      <c r="B550" s="2" t="s">
        <v>370</v>
      </c>
      <c r="C550" s="5" t="s">
        <v>594</v>
      </c>
      <c r="D550" s="1" t="s">
        <v>533</v>
      </c>
      <c r="E550" s="24">
        <f>2792.4-2.3-5-3.1-3-6.6-2.3-23.1-105.4-19.7-51.1-4.6-3-50-13.5-17.1</f>
        <v>2482.6000000000004</v>
      </c>
      <c r="F550" s="30"/>
    </row>
    <row r="551" spans="1:6" s="22" customFormat="1" ht="27" customHeight="1">
      <c r="A551" s="122" t="s">
        <v>275</v>
      </c>
      <c r="B551" s="2" t="s">
        <v>370</v>
      </c>
      <c r="C551" s="5" t="s">
        <v>594</v>
      </c>
      <c r="D551" s="1" t="s">
        <v>325</v>
      </c>
      <c r="E551" s="24">
        <f>5+51.1</f>
        <v>56.1</v>
      </c>
      <c r="F551" s="30"/>
    </row>
    <row r="552" spans="1:6" s="22" customFormat="1" ht="24" customHeight="1">
      <c r="A552" s="15" t="s">
        <v>553</v>
      </c>
      <c r="B552" s="2" t="s">
        <v>370</v>
      </c>
      <c r="C552" s="5" t="s">
        <v>595</v>
      </c>
      <c r="D552" s="1" t="s">
        <v>335</v>
      </c>
      <c r="E552" s="24">
        <f>E555+E553</f>
        <v>93175.20000000001</v>
      </c>
      <c r="F552" s="30"/>
    </row>
    <row r="553" spans="1:6" s="22" customFormat="1" ht="20.25" customHeight="1">
      <c r="A553" s="118" t="s">
        <v>509</v>
      </c>
      <c r="B553" s="2" t="s">
        <v>370</v>
      </c>
      <c r="C553" s="2" t="s">
        <v>595</v>
      </c>
      <c r="D553" s="1" t="s">
        <v>508</v>
      </c>
      <c r="E553" s="24">
        <f>E554</f>
        <v>8099.0999999999985</v>
      </c>
      <c r="F553" s="24"/>
    </row>
    <row r="554" spans="1:6" s="22" customFormat="1" ht="29.25" customHeight="1">
      <c r="A554" s="34" t="s">
        <v>511</v>
      </c>
      <c r="B554" s="2" t="s">
        <v>370</v>
      </c>
      <c r="C554" s="5" t="s">
        <v>595</v>
      </c>
      <c r="D554" s="1" t="s">
        <v>510</v>
      </c>
      <c r="E554" s="24">
        <f>125.2+159+160.6+52.5+145.1+1313.5+1393.1+567.9+995.5+366.7+399+252.7+33.9+754.7+1379.7</f>
        <v>8099.0999999999985</v>
      </c>
      <c r="F554" s="30"/>
    </row>
    <row r="555" spans="1:6" s="22" customFormat="1" ht="32.25" customHeight="1">
      <c r="A555" s="35" t="s">
        <v>536</v>
      </c>
      <c r="B555" s="2" t="s">
        <v>370</v>
      </c>
      <c r="C555" s="5" t="s">
        <v>595</v>
      </c>
      <c r="D555" s="1" t="s">
        <v>535</v>
      </c>
      <c r="E555" s="24">
        <f>E556</f>
        <v>85076.10000000002</v>
      </c>
      <c r="F555" s="30"/>
    </row>
    <row r="556" spans="1:6" s="22" customFormat="1" ht="22.5" customHeight="1">
      <c r="A556" s="117" t="s">
        <v>534</v>
      </c>
      <c r="B556" s="2" t="s">
        <v>370</v>
      </c>
      <c r="C556" s="2" t="s">
        <v>595</v>
      </c>
      <c r="D556" s="1" t="s">
        <v>533</v>
      </c>
      <c r="E556" s="24">
        <f>73866-772.4-4000-2845-125.2-159+4109.7-160.6+1439.5-52.5-145.1-1313.5-1393.1+909.8-567.9-995.5-305.3+2400+233.3-399-252.7+16200-33.9+603.3-754.7+910.3-1379.7+59.3</f>
        <v>85076.10000000002</v>
      </c>
      <c r="F556" s="24"/>
    </row>
    <row r="557" spans="1:6" s="22" customFormat="1" ht="28.5" customHeight="1">
      <c r="A557" s="74" t="s">
        <v>617</v>
      </c>
      <c r="B557" s="2" t="s">
        <v>370</v>
      </c>
      <c r="C557" s="5" t="s">
        <v>597</v>
      </c>
      <c r="D557" s="1" t="s">
        <v>335</v>
      </c>
      <c r="E557" s="24">
        <f>E558</f>
        <v>2500</v>
      </c>
      <c r="F557" s="30"/>
    </row>
    <row r="558" spans="1:6" s="22" customFormat="1" ht="32.25" customHeight="1">
      <c r="A558" s="35" t="s">
        <v>536</v>
      </c>
      <c r="B558" s="2" t="s">
        <v>370</v>
      </c>
      <c r="C558" s="5" t="s">
        <v>597</v>
      </c>
      <c r="D558" s="1" t="s">
        <v>535</v>
      </c>
      <c r="E558" s="24">
        <f>E559</f>
        <v>2500</v>
      </c>
      <c r="F558" s="30"/>
    </row>
    <row r="559" spans="1:6" s="22" customFormat="1" ht="24.75" customHeight="1">
      <c r="A559" s="117" t="s">
        <v>534</v>
      </c>
      <c r="B559" s="2" t="s">
        <v>370</v>
      </c>
      <c r="C559" s="2" t="s">
        <v>597</v>
      </c>
      <c r="D559" s="1" t="s">
        <v>533</v>
      </c>
      <c r="E559" s="24">
        <f>5500-2400-600</f>
        <v>2500</v>
      </c>
      <c r="F559" s="24"/>
    </row>
    <row r="560" spans="1:6" s="22" customFormat="1" ht="32.25" customHeight="1">
      <c r="A560" s="35" t="s">
        <v>560</v>
      </c>
      <c r="B560" s="2" t="s">
        <v>370</v>
      </c>
      <c r="C560" s="5" t="s">
        <v>612</v>
      </c>
      <c r="D560" s="1" t="s">
        <v>335</v>
      </c>
      <c r="E560" s="24">
        <f>E561</f>
        <v>800</v>
      </c>
      <c r="F560" s="30"/>
    </row>
    <row r="561" spans="1:6" s="22" customFormat="1" ht="32.25" customHeight="1">
      <c r="A561" s="123" t="s">
        <v>536</v>
      </c>
      <c r="B561" s="2" t="s">
        <v>370</v>
      </c>
      <c r="C561" s="2" t="s">
        <v>612</v>
      </c>
      <c r="D561" s="1" t="s">
        <v>535</v>
      </c>
      <c r="E561" s="24">
        <f>E562</f>
        <v>800</v>
      </c>
      <c r="F561" s="24"/>
    </row>
    <row r="562" spans="1:6" s="22" customFormat="1" ht="24" customHeight="1">
      <c r="A562" s="116" t="s">
        <v>534</v>
      </c>
      <c r="B562" s="32" t="s">
        <v>370</v>
      </c>
      <c r="C562" s="2" t="s">
        <v>612</v>
      </c>
      <c r="D562" s="92" t="s">
        <v>533</v>
      </c>
      <c r="E562" s="79">
        <v>800</v>
      </c>
      <c r="F562" s="79"/>
    </row>
    <row r="563" spans="1:6" s="22" customFormat="1" ht="23.25" customHeight="1">
      <c r="A563" s="95" t="s">
        <v>349</v>
      </c>
      <c r="B563" s="65" t="s">
        <v>370</v>
      </c>
      <c r="C563" s="5" t="s">
        <v>358</v>
      </c>
      <c r="D563" s="63" t="s">
        <v>335</v>
      </c>
      <c r="E563" s="64">
        <f>E564+E578+E588</f>
        <v>368180.89999999997</v>
      </c>
      <c r="F563" s="64">
        <f>F564+F578</f>
        <v>500</v>
      </c>
    </row>
    <row r="564" spans="1:6" s="22" customFormat="1" ht="56.25" customHeight="1">
      <c r="A564" s="41" t="s">
        <v>58</v>
      </c>
      <c r="B564" s="2" t="s">
        <v>370</v>
      </c>
      <c r="C564" s="5" t="s">
        <v>490</v>
      </c>
      <c r="D564" s="1" t="s">
        <v>335</v>
      </c>
      <c r="E564" s="94">
        <f>E565</f>
        <v>137643.4</v>
      </c>
      <c r="F564" s="94">
        <f>F565</f>
        <v>500</v>
      </c>
    </row>
    <row r="565" spans="1:6" s="22" customFormat="1" ht="40.5" customHeight="1">
      <c r="A565" s="123" t="s">
        <v>60</v>
      </c>
      <c r="B565" s="2" t="s">
        <v>370</v>
      </c>
      <c r="C565" s="2" t="s">
        <v>567</v>
      </c>
      <c r="D565" s="1" t="s">
        <v>335</v>
      </c>
      <c r="E565" s="64">
        <f>E569+E572+E575+E566</f>
        <v>137643.4</v>
      </c>
      <c r="F565" s="64">
        <f>F569+F572+F575+F566</f>
        <v>500</v>
      </c>
    </row>
    <row r="566" spans="1:6" s="22" customFormat="1" ht="43.5" customHeight="1">
      <c r="A566" s="35" t="s">
        <v>237</v>
      </c>
      <c r="B566" s="2" t="s">
        <v>370</v>
      </c>
      <c r="C566" s="5" t="s">
        <v>233</v>
      </c>
      <c r="D566" s="141" t="s">
        <v>335</v>
      </c>
      <c r="E566" s="25">
        <f>E567</f>
        <v>500</v>
      </c>
      <c r="F566" s="25">
        <f>F567</f>
        <v>500</v>
      </c>
    </row>
    <row r="567" spans="1:6" s="22" customFormat="1" ht="29.25" customHeight="1">
      <c r="A567" s="35" t="s">
        <v>536</v>
      </c>
      <c r="B567" s="2" t="s">
        <v>370</v>
      </c>
      <c r="C567" s="5" t="s">
        <v>233</v>
      </c>
      <c r="D567" s="141" t="s">
        <v>535</v>
      </c>
      <c r="E567" s="25">
        <f>E568</f>
        <v>500</v>
      </c>
      <c r="F567" s="25">
        <f>F568</f>
        <v>500</v>
      </c>
    </row>
    <row r="568" spans="1:6" s="22" customFormat="1" ht="20.25" customHeight="1">
      <c r="A568" s="15" t="s">
        <v>534</v>
      </c>
      <c r="B568" s="2" t="s">
        <v>370</v>
      </c>
      <c r="C568" s="5" t="s">
        <v>233</v>
      </c>
      <c r="D568" s="141" t="s">
        <v>533</v>
      </c>
      <c r="E568" s="25">
        <f>150+350</f>
        <v>500</v>
      </c>
      <c r="F568" s="25">
        <f>E568</f>
        <v>500</v>
      </c>
    </row>
    <row r="569" spans="1:6" s="22" customFormat="1" ht="30.75" customHeight="1">
      <c r="A569" s="143" t="s">
        <v>0</v>
      </c>
      <c r="B569" s="2" t="s">
        <v>370</v>
      </c>
      <c r="C569" s="2" t="s">
        <v>619</v>
      </c>
      <c r="D569" s="2" t="s">
        <v>335</v>
      </c>
      <c r="E569" s="24">
        <f>E570</f>
        <v>133635.3</v>
      </c>
      <c r="F569" s="25"/>
    </row>
    <row r="570" spans="1:6" s="22" customFormat="1" ht="30" customHeight="1">
      <c r="A570" s="123" t="s">
        <v>536</v>
      </c>
      <c r="B570" s="2" t="s">
        <v>370</v>
      </c>
      <c r="C570" s="2" t="s">
        <v>619</v>
      </c>
      <c r="D570" s="2" t="s">
        <v>535</v>
      </c>
      <c r="E570" s="24">
        <f>E571</f>
        <v>133635.3</v>
      </c>
      <c r="F570" s="25"/>
    </row>
    <row r="571" spans="1:6" s="22" customFormat="1" ht="21.75" customHeight="1">
      <c r="A571" s="15" t="s">
        <v>534</v>
      </c>
      <c r="B571" s="4" t="s">
        <v>370</v>
      </c>
      <c r="C571" s="5" t="s">
        <v>619</v>
      </c>
      <c r="D571" s="4" t="s">
        <v>533</v>
      </c>
      <c r="E571" s="71">
        <v>133635.3</v>
      </c>
      <c r="F571" s="25"/>
    </row>
    <row r="572" spans="1:6" s="22" customFormat="1" ht="21.75" customHeight="1">
      <c r="A572" s="15" t="s">
        <v>558</v>
      </c>
      <c r="B572" s="4" t="s">
        <v>370</v>
      </c>
      <c r="C572" s="5" t="s">
        <v>134</v>
      </c>
      <c r="D572" s="4" t="s">
        <v>335</v>
      </c>
      <c r="E572" s="24">
        <f>E573</f>
        <v>257.09999999999997</v>
      </c>
      <c r="F572" s="26"/>
    </row>
    <row r="573" spans="1:6" s="22" customFormat="1" ht="33" customHeight="1">
      <c r="A573" s="123" t="s">
        <v>536</v>
      </c>
      <c r="B573" s="2" t="s">
        <v>370</v>
      </c>
      <c r="C573" s="2" t="s">
        <v>134</v>
      </c>
      <c r="D573" s="2" t="s">
        <v>535</v>
      </c>
      <c r="E573" s="24">
        <f>E574</f>
        <v>257.09999999999997</v>
      </c>
      <c r="F573" s="25"/>
    </row>
    <row r="574" spans="1:6" s="22" customFormat="1" ht="21.75" customHeight="1">
      <c r="A574" s="15" t="s">
        <v>534</v>
      </c>
      <c r="B574" s="4" t="s">
        <v>370</v>
      </c>
      <c r="C574" s="5" t="s">
        <v>134</v>
      </c>
      <c r="D574" s="4" t="s">
        <v>533</v>
      </c>
      <c r="E574" s="24">
        <f>211+105.4-59.3</f>
        <v>257.09999999999997</v>
      </c>
      <c r="F574" s="26"/>
    </row>
    <row r="575" spans="1:6" s="22" customFormat="1" ht="21.75" customHeight="1">
      <c r="A575" s="117" t="s">
        <v>553</v>
      </c>
      <c r="B575" s="2" t="s">
        <v>370</v>
      </c>
      <c r="C575" s="2" t="s">
        <v>135</v>
      </c>
      <c r="D575" s="2" t="s">
        <v>335</v>
      </c>
      <c r="E575" s="24">
        <f>E576</f>
        <v>3251</v>
      </c>
      <c r="F575" s="25"/>
    </row>
    <row r="576" spans="1:6" s="22" customFormat="1" ht="27.75" customHeight="1">
      <c r="A576" s="35" t="s">
        <v>536</v>
      </c>
      <c r="B576" s="4" t="s">
        <v>370</v>
      </c>
      <c r="C576" s="5" t="s">
        <v>135</v>
      </c>
      <c r="D576" s="4" t="s">
        <v>535</v>
      </c>
      <c r="E576" s="24">
        <f>E577</f>
        <v>3251</v>
      </c>
      <c r="F576" s="26"/>
    </row>
    <row r="577" spans="1:6" s="22" customFormat="1" ht="19.5" customHeight="1">
      <c r="A577" s="117" t="s">
        <v>534</v>
      </c>
      <c r="B577" s="2" t="s">
        <v>370</v>
      </c>
      <c r="C577" s="2" t="s">
        <v>135</v>
      </c>
      <c r="D577" s="2" t="s">
        <v>533</v>
      </c>
      <c r="E577" s="24">
        <f>2936+315</f>
        <v>3251</v>
      </c>
      <c r="F577" s="25"/>
    </row>
    <row r="578" spans="1:6" s="22" customFormat="1" ht="53.25" customHeight="1">
      <c r="A578" s="109" t="s">
        <v>62</v>
      </c>
      <c r="B578" s="1" t="s">
        <v>370</v>
      </c>
      <c r="C578" s="5" t="s">
        <v>454</v>
      </c>
      <c r="D578" s="6" t="s">
        <v>335</v>
      </c>
      <c r="E578" s="72">
        <f>E579</f>
        <v>172981.9</v>
      </c>
      <c r="F578" s="26"/>
    </row>
    <row r="579" spans="1:6" s="22" customFormat="1" ht="27.75" customHeight="1">
      <c r="A579" s="15" t="s">
        <v>503</v>
      </c>
      <c r="B579" s="1" t="s">
        <v>370</v>
      </c>
      <c r="C579" s="5" t="s">
        <v>453</v>
      </c>
      <c r="D579" s="6" t="s">
        <v>335</v>
      </c>
      <c r="E579" s="72">
        <f>E580+E585+E582</f>
        <v>172981.9</v>
      </c>
      <c r="F579" s="26"/>
    </row>
    <row r="580" spans="1:6" s="22" customFormat="1" ht="31.5" customHeight="1">
      <c r="A580" s="35" t="s">
        <v>536</v>
      </c>
      <c r="B580" s="1" t="s">
        <v>370</v>
      </c>
      <c r="C580" s="5" t="s">
        <v>584</v>
      </c>
      <c r="D580" s="6" t="s">
        <v>535</v>
      </c>
      <c r="E580" s="72">
        <f>E581</f>
        <v>160588.9</v>
      </c>
      <c r="F580" s="25"/>
    </row>
    <row r="581" spans="1:6" s="22" customFormat="1" ht="20.25" customHeight="1">
      <c r="A581" s="15" t="s">
        <v>534</v>
      </c>
      <c r="B581" s="1" t="s">
        <v>370</v>
      </c>
      <c r="C581" s="5" t="s">
        <v>584</v>
      </c>
      <c r="D581" s="6" t="s">
        <v>533</v>
      </c>
      <c r="E581" s="72">
        <f>178966.9-6283-11595-1000+500</f>
        <v>160588.9</v>
      </c>
      <c r="F581" s="25"/>
    </row>
    <row r="582" spans="1:6" s="22" customFormat="1" ht="20.25" customHeight="1">
      <c r="A582" s="15" t="s">
        <v>211</v>
      </c>
      <c r="B582" s="1" t="s">
        <v>370</v>
      </c>
      <c r="C582" s="5" t="s">
        <v>213</v>
      </c>
      <c r="D582" s="6" t="s">
        <v>335</v>
      </c>
      <c r="E582" s="72">
        <f>E583</f>
        <v>420</v>
      </c>
      <c r="F582" s="25"/>
    </row>
    <row r="583" spans="1:6" s="22" customFormat="1" ht="28.5" customHeight="1">
      <c r="A583" s="35" t="s">
        <v>536</v>
      </c>
      <c r="B583" s="1" t="s">
        <v>370</v>
      </c>
      <c r="C583" s="5" t="s">
        <v>213</v>
      </c>
      <c r="D583" s="6" t="s">
        <v>535</v>
      </c>
      <c r="E583" s="72">
        <f>E584</f>
        <v>420</v>
      </c>
      <c r="F583" s="25"/>
    </row>
    <row r="584" spans="1:6" s="22" customFormat="1" ht="20.25" customHeight="1">
      <c r="A584" s="15" t="s">
        <v>534</v>
      </c>
      <c r="B584" s="1" t="s">
        <v>370</v>
      </c>
      <c r="C584" s="5" t="s">
        <v>213</v>
      </c>
      <c r="D584" s="6" t="s">
        <v>533</v>
      </c>
      <c r="E584" s="72">
        <f>120+300</f>
        <v>420</v>
      </c>
      <c r="F584" s="25"/>
    </row>
    <row r="585" spans="1:6" s="22" customFormat="1" ht="28.5" customHeight="1">
      <c r="A585" s="117" t="s">
        <v>189</v>
      </c>
      <c r="B585" s="1" t="s">
        <v>370</v>
      </c>
      <c r="C585" s="5" t="s">
        <v>188</v>
      </c>
      <c r="D585" s="6" t="s">
        <v>335</v>
      </c>
      <c r="E585" s="72">
        <f>E586</f>
        <v>11973</v>
      </c>
      <c r="F585" s="25"/>
    </row>
    <row r="586" spans="1:6" s="22" customFormat="1" ht="28.5" customHeight="1">
      <c r="A586" s="35" t="s">
        <v>536</v>
      </c>
      <c r="B586" s="1" t="s">
        <v>370</v>
      </c>
      <c r="C586" s="5" t="s">
        <v>188</v>
      </c>
      <c r="D586" s="6" t="s">
        <v>535</v>
      </c>
      <c r="E586" s="72">
        <f>E587</f>
        <v>11973</v>
      </c>
      <c r="F586" s="25"/>
    </row>
    <row r="587" spans="1:6" s="22" customFormat="1" ht="20.25" customHeight="1">
      <c r="A587" s="15" t="s">
        <v>534</v>
      </c>
      <c r="B587" s="1" t="s">
        <v>370</v>
      </c>
      <c r="C587" s="5" t="s">
        <v>188</v>
      </c>
      <c r="D587" s="6" t="s">
        <v>533</v>
      </c>
      <c r="E587" s="72">
        <f>6283+1800+1200-10+2700</f>
        <v>11973</v>
      </c>
      <c r="F587" s="25"/>
    </row>
    <row r="588" spans="1:6" s="22" customFormat="1" ht="52.5" customHeight="1">
      <c r="A588" s="131" t="s">
        <v>57</v>
      </c>
      <c r="B588" s="1" t="s">
        <v>370</v>
      </c>
      <c r="C588" s="2" t="s">
        <v>455</v>
      </c>
      <c r="D588" s="2" t="s">
        <v>335</v>
      </c>
      <c r="E588" s="24">
        <f>E589</f>
        <v>57555.6</v>
      </c>
      <c r="F588" s="24">
        <f>F589</f>
        <v>700</v>
      </c>
    </row>
    <row r="589" spans="1:6" s="22" customFormat="1" ht="32.25" customHeight="1">
      <c r="A589" s="117" t="s">
        <v>543</v>
      </c>
      <c r="B589" s="2" t="s">
        <v>370</v>
      </c>
      <c r="C589" s="2" t="s">
        <v>472</v>
      </c>
      <c r="D589" s="2" t="s">
        <v>335</v>
      </c>
      <c r="E589" s="24">
        <f>E593+E590+E595</f>
        <v>57555.6</v>
      </c>
      <c r="F589" s="24">
        <f>F593+F590</f>
        <v>700</v>
      </c>
    </row>
    <row r="590" spans="1:6" s="22" customFormat="1" ht="41.25" customHeight="1">
      <c r="A590" s="35" t="s">
        <v>237</v>
      </c>
      <c r="B590" s="2" t="s">
        <v>370</v>
      </c>
      <c r="C590" s="5" t="s">
        <v>246</v>
      </c>
      <c r="D590" s="5" t="s">
        <v>335</v>
      </c>
      <c r="E590" s="24">
        <f>E591</f>
        <v>700</v>
      </c>
      <c r="F590" s="24">
        <f>F591</f>
        <v>700</v>
      </c>
    </row>
    <row r="591" spans="1:6" s="22" customFormat="1" ht="32.25" customHeight="1">
      <c r="A591" s="123" t="s">
        <v>536</v>
      </c>
      <c r="B591" s="2" t="s">
        <v>370</v>
      </c>
      <c r="C591" s="5" t="s">
        <v>246</v>
      </c>
      <c r="D591" s="5" t="s">
        <v>535</v>
      </c>
      <c r="E591" s="24">
        <f>E592</f>
        <v>700</v>
      </c>
      <c r="F591" s="24">
        <f>F592</f>
        <v>700</v>
      </c>
    </row>
    <row r="592" spans="1:6" s="22" customFormat="1" ht="18" customHeight="1">
      <c r="A592" s="117" t="s">
        <v>534</v>
      </c>
      <c r="B592" s="2" t="s">
        <v>370</v>
      </c>
      <c r="C592" s="5" t="s">
        <v>246</v>
      </c>
      <c r="D592" s="5" t="s">
        <v>533</v>
      </c>
      <c r="E592" s="24">
        <f>100+600</f>
        <v>700</v>
      </c>
      <c r="F592" s="24">
        <f>100+600</f>
        <v>700</v>
      </c>
    </row>
    <row r="593" spans="1:6" s="22" customFormat="1" ht="32.25" customHeight="1">
      <c r="A593" s="123" t="s">
        <v>536</v>
      </c>
      <c r="B593" s="2" t="s">
        <v>370</v>
      </c>
      <c r="C593" s="2" t="s">
        <v>616</v>
      </c>
      <c r="D593" s="2" t="s">
        <v>535</v>
      </c>
      <c r="E593" s="24">
        <f>E594</f>
        <v>56400</v>
      </c>
      <c r="F593" s="25"/>
    </row>
    <row r="594" spans="1:6" s="22" customFormat="1" ht="18.75" customHeight="1">
      <c r="A594" s="117" t="s">
        <v>534</v>
      </c>
      <c r="B594" s="2" t="s">
        <v>370</v>
      </c>
      <c r="C594" s="2" t="s">
        <v>616</v>
      </c>
      <c r="D594" s="2" t="s">
        <v>533</v>
      </c>
      <c r="E594" s="24">
        <f>56000+5000-4600</f>
        <v>56400</v>
      </c>
      <c r="F594" s="25"/>
    </row>
    <row r="595" spans="1:6" s="22" customFormat="1" ht="29.25" customHeight="1">
      <c r="A595" s="117" t="s">
        <v>189</v>
      </c>
      <c r="B595" s="2" t="s">
        <v>370</v>
      </c>
      <c r="C595" s="2" t="s">
        <v>70</v>
      </c>
      <c r="D595" s="2" t="s">
        <v>335</v>
      </c>
      <c r="E595" s="24">
        <f>E596</f>
        <v>455.6</v>
      </c>
      <c r="F595" s="25"/>
    </row>
    <row r="596" spans="1:6" s="22" customFormat="1" ht="27.75" customHeight="1">
      <c r="A596" s="123" t="s">
        <v>536</v>
      </c>
      <c r="B596" s="2" t="s">
        <v>370</v>
      </c>
      <c r="C596" s="2" t="s">
        <v>70</v>
      </c>
      <c r="D596" s="2" t="s">
        <v>535</v>
      </c>
      <c r="E596" s="24">
        <f>E597</f>
        <v>455.6</v>
      </c>
      <c r="F596" s="25"/>
    </row>
    <row r="597" spans="1:6" s="22" customFormat="1" ht="18.75" customHeight="1">
      <c r="A597" s="117" t="s">
        <v>534</v>
      </c>
      <c r="B597" s="2" t="s">
        <v>370</v>
      </c>
      <c r="C597" s="2" t="s">
        <v>70</v>
      </c>
      <c r="D597" s="2" t="s">
        <v>533</v>
      </c>
      <c r="E597" s="24">
        <f>455.6</f>
        <v>455.6</v>
      </c>
      <c r="F597" s="25"/>
    </row>
    <row r="598" spans="1:6" s="22" customFormat="1" ht="39.75" customHeight="1">
      <c r="A598" s="121" t="s">
        <v>45</v>
      </c>
      <c r="B598" s="2" t="s">
        <v>370</v>
      </c>
      <c r="C598" s="106" t="s">
        <v>439</v>
      </c>
      <c r="D598" s="1" t="s">
        <v>335</v>
      </c>
      <c r="E598" s="24">
        <f>E599</f>
        <v>700</v>
      </c>
      <c r="F598" s="32"/>
    </row>
    <row r="599" spans="1:6" s="22" customFormat="1" ht="18.75" customHeight="1">
      <c r="A599" s="121" t="s">
        <v>48</v>
      </c>
      <c r="B599" s="2" t="s">
        <v>370</v>
      </c>
      <c r="C599" s="106" t="s">
        <v>456</v>
      </c>
      <c r="D599" s="1" t="s">
        <v>335</v>
      </c>
      <c r="E599" s="24">
        <f>E602+E600</f>
        <v>700</v>
      </c>
      <c r="F599" s="2"/>
    </row>
    <row r="600" spans="1:6" s="22" customFormat="1" ht="18.75" customHeight="1">
      <c r="A600" s="34" t="s">
        <v>509</v>
      </c>
      <c r="B600" s="2" t="s">
        <v>370</v>
      </c>
      <c r="C600" s="88" t="s">
        <v>604</v>
      </c>
      <c r="D600" s="6" t="s">
        <v>508</v>
      </c>
      <c r="E600" s="30">
        <f>E601</f>
        <v>17.7</v>
      </c>
      <c r="F600" s="2"/>
    </row>
    <row r="601" spans="1:6" s="22" customFormat="1" ht="30" customHeight="1">
      <c r="A601" s="118" t="s">
        <v>511</v>
      </c>
      <c r="B601" s="2" t="s">
        <v>370</v>
      </c>
      <c r="C601" s="88" t="s">
        <v>604</v>
      </c>
      <c r="D601" s="6" t="s">
        <v>510</v>
      </c>
      <c r="E601" s="30">
        <f>17.7</f>
        <v>17.7</v>
      </c>
      <c r="F601" s="2"/>
    </row>
    <row r="602" spans="1:6" s="22" customFormat="1" ht="27.75" customHeight="1">
      <c r="A602" s="123" t="s">
        <v>536</v>
      </c>
      <c r="B602" s="2" t="s">
        <v>370</v>
      </c>
      <c r="C602" s="106" t="s">
        <v>604</v>
      </c>
      <c r="D602" s="1" t="s">
        <v>535</v>
      </c>
      <c r="E602" s="24">
        <f>E603</f>
        <v>682.3</v>
      </c>
      <c r="F602" s="2"/>
    </row>
    <row r="603" spans="1:6" s="22" customFormat="1" ht="21" customHeight="1">
      <c r="A603" s="117" t="s">
        <v>534</v>
      </c>
      <c r="B603" s="2" t="s">
        <v>370</v>
      </c>
      <c r="C603" s="106" t="s">
        <v>604</v>
      </c>
      <c r="D603" s="1" t="s">
        <v>533</v>
      </c>
      <c r="E603" s="24">
        <f>700-17.7</f>
        <v>682.3</v>
      </c>
      <c r="F603" s="2"/>
    </row>
    <row r="604" spans="1:6" s="22" customFormat="1" ht="67.5" customHeight="1">
      <c r="A604" s="116" t="s">
        <v>80</v>
      </c>
      <c r="B604" s="2" t="s">
        <v>370</v>
      </c>
      <c r="C604" s="32" t="s">
        <v>447</v>
      </c>
      <c r="D604" s="32" t="s">
        <v>335</v>
      </c>
      <c r="E604" s="40">
        <f>E610+E605+E608</f>
        <v>7565.8</v>
      </c>
      <c r="F604" s="40">
        <f>F610+F605</f>
        <v>719</v>
      </c>
    </row>
    <row r="605" spans="1:6" s="22" customFormat="1" ht="105.75" customHeight="1">
      <c r="A605" s="136" t="s">
        <v>44</v>
      </c>
      <c r="B605" s="2" t="s">
        <v>370</v>
      </c>
      <c r="C605" s="32" t="s">
        <v>39</v>
      </c>
      <c r="D605" s="32" t="s">
        <v>335</v>
      </c>
      <c r="E605" s="40">
        <f>E606</f>
        <v>719</v>
      </c>
      <c r="F605" s="40">
        <f>F606</f>
        <v>719</v>
      </c>
    </row>
    <row r="606" spans="1:6" s="22" customFormat="1" ht="32.25" customHeight="1">
      <c r="A606" s="123" t="s">
        <v>536</v>
      </c>
      <c r="B606" s="2" t="s">
        <v>370</v>
      </c>
      <c r="C606" s="32" t="s">
        <v>39</v>
      </c>
      <c r="D606" s="32" t="s">
        <v>535</v>
      </c>
      <c r="E606" s="40">
        <f>E607</f>
        <v>719</v>
      </c>
      <c r="F606" s="40">
        <f>F607</f>
        <v>719</v>
      </c>
    </row>
    <row r="607" spans="1:6" s="22" customFormat="1" ht="21.75" customHeight="1">
      <c r="A607" s="15" t="s">
        <v>534</v>
      </c>
      <c r="B607" s="2" t="s">
        <v>370</v>
      </c>
      <c r="C607" s="37" t="s">
        <v>39</v>
      </c>
      <c r="D607" s="37" t="s">
        <v>533</v>
      </c>
      <c r="E607" s="38">
        <v>719</v>
      </c>
      <c r="F607" s="38">
        <v>719</v>
      </c>
    </row>
    <row r="608" spans="1:6" s="22" customFormat="1" ht="21.75" customHeight="1">
      <c r="A608" s="34" t="s">
        <v>509</v>
      </c>
      <c r="B608" s="2" t="s">
        <v>370</v>
      </c>
      <c r="C608" s="37" t="s">
        <v>575</v>
      </c>
      <c r="D608" s="37" t="s">
        <v>508</v>
      </c>
      <c r="E608" s="38">
        <f>E609</f>
        <v>250.6</v>
      </c>
      <c r="F608" s="38"/>
    </row>
    <row r="609" spans="1:6" s="22" customFormat="1" ht="28.5" customHeight="1">
      <c r="A609" s="118" t="s">
        <v>511</v>
      </c>
      <c r="B609" s="2" t="s">
        <v>370</v>
      </c>
      <c r="C609" s="37" t="s">
        <v>575</v>
      </c>
      <c r="D609" s="37" t="s">
        <v>510</v>
      </c>
      <c r="E609" s="38">
        <f>11+94.5+145.1</f>
        <v>250.6</v>
      </c>
      <c r="F609" s="38"/>
    </row>
    <row r="610" spans="1:6" s="22" customFormat="1" ht="30" customHeight="1">
      <c r="A610" s="35" t="s">
        <v>536</v>
      </c>
      <c r="B610" s="2" t="s">
        <v>370</v>
      </c>
      <c r="C610" s="37" t="s">
        <v>575</v>
      </c>
      <c r="D610" s="37" t="s">
        <v>535</v>
      </c>
      <c r="E610" s="38">
        <f>E611</f>
        <v>6596.2</v>
      </c>
      <c r="F610" s="38"/>
    </row>
    <row r="611" spans="1:6" s="22" customFormat="1" ht="21" customHeight="1">
      <c r="A611" s="15" t="s">
        <v>534</v>
      </c>
      <c r="B611" s="2" t="s">
        <v>370</v>
      </c>
      <c r="C611" s="37" t="s">
        <v>575</v>
      </c>
      <c r="D611" s="37" t="s">
        <v>533</v>
      </c>
      <c r="E611" s="38">
        <f>9160-2500-11-94.5+24.9+16.8</f>
        <v>6596.2</v>
      </c>
      <c r="F611" s="38"/>
    </row>
    <row r="612" spans="1:6" s="22" customFormat="1" ht="29.25" customHeight="1">
      <c r="A612" s="41" t="s">
        <v>101</v>
      </c>
      <c r="B612" s="32" t="s">
        <v>370</v>
      </c>
      <c r="C612" s="37" t="s">
        <v>452</v>
      </c>
      <c r="D612" s="36" t="s">
        <v>335</v>
      </c>
      <c r="E612" s="78">
        <f>E615+E613</f>
        <v>720.0000000000001</v>
      </c>
      <c r="F612" s="113"/>
    </row>
    <row r="613" spans="1:6" s="22" customFormat="1" ht="24" customHeight="1">
      <c r="A613" s="34" t="s">
        <v>509</v>
      </c>
      <c r="B613" s="32" t="s">
        <v>370</v>
      </c>
      <c r="C613" s="37" t="s">
        <v>579</v>
      </c>
      <c r="D613" s="36" t="s">
        <v>508</v>
      </c>
      <c r="E613" s="78">
        <f>E614</f>
        <v>117.6</v>
      </c>
      <c r="F613" s="113"/>
    </row>
    <row r="614" spans="1:6" s="22" customFormat="1" ht="29.25" customHeight="1">
      <c r="A614" s="118" t="s">
        <v>511</v>
      </c>
      <c r="B614" s="32" t="s">
        <v>370</v>
      </c>
      <c r="C614" s="32" t="s">
        <v>579</v>
      </c>
      <c r="D614" s="92" t="s">
        <v>510</v>
      </c>
      <c r="E614" s="79">
        <f>29.9+60.4+27.3</f>
        <v>117.6</v>
      </c>
      <c r="F614" s="113"/>
    </row>
    <row r="615" spans="1:6" s="22" customFormat="1" ht="30" customHeight="1">
      <c r="A615" s="35" t="s">
        <v>536</v>
      </c>
      <c r="B615" s="32" t="s">
        <v>370</v>
      </c>
      <c r="C615" s="37" t="s">
        <v>579</v>
      </c>
      <c r="D615" s="36" t="s">
        <v>535</v>
      </c>
      <c r="E615" s="78">
        <f>E616</f>
        <v>602.4000000000001</v>
      </c>
      <c r="F615" s="113"/>
    </row>
    <row r="616" spans="1:6" s="22" customFormat="1" ht="17.25" customHeight="1">
      <c r="A616" s="74" t="s">
        <v>534</v>
      </c>
      <c r="B616" s="32" t="s">
        <v>370</v>
      </c>
      <c r="C616" s="37" t="s">
        <v>579</v>
      </c>
      <c r="D616" s="36" t="s">
        <v>533</v>
      </c>
      <c r="E616" s="78">
        <f>1000-260-120+240-160-180+20+180-29.9-60.4-27.3</f>
        <v>602.4000000000001</v>
      </c>
      <c r="F616" s="113"/>
    </row>
    <row r="617" spans="1:6" s="22" customFormat="1" ht="27" customHeight="1">
      <c r="A617" s="140" t="s">
        <v>125</v>
      </c>
      <c r="B617" s="2" t="s">
        <v>370</v>
      </c>
      <c r="C617" s="2" t="s">
        <v>293</v>
      </c>
      <c r="D617" s="1" t="s">
        <v>335</v>
      </c>
      <c r="E617" s="24">
        <f>E624+E621+E618</f>
        <v>9923.8</v>
      </c>
      <c r="F617" s="24">
        <f>F624+F621+F618</f>
        <v>8372.3</v>
      </c>
    </row>
    <row r="618" spans="1:6" s="22" customFormat="1" ht="79.5" customHeight="1">
      <c r="A618" s="114" t="s">
        <v>296</v>
      </c>
      <c r="B618" s="2" t="s">
        <v>370</v>
      </c>
      <c r="C618" s="5" t="s">
        <v>297</v>
      </c>
      <c r="D618" s="6" t="s">
        <v>335</v>
      </c>
      <c r="E618" s="30">
        <f>E619</f>
        <v>5257.5</v>
      </c>
      <c r="F618" s="30">
        <f>F619</f>
        <v>5257.5</v>
      </c>
    </row>
    <row r="619" spans="1:6" s="22" customFormat="1" ht="27" customHeight="1">
      <c r="A619" s="35" t="s">
        <v>536</v>
      </c>
      <c r="B619" s="2" t="s">
        <v>370</v>
      </c>
      <c r="C619" s="5" t="s">
        <v>297</v>
      </c>
      <c r="D619" s="6" t="s">
        <v>535</v>
      </c>
      <c r="E619" s="30">
        <f>E620</f>
        <v>5257.5</v>
      </c>
      <c r="F619" s="30">
        <f>F620</f>
        <v>5257.5</v>
      </c>
    </row>
    <row r="620" spans="1:6" s="22" customFormat="1" ht="27" customHeight="1">
      <c r="A620" s="74" t="s">
        <v>534</v>
      </c>
      <c r="B620" s="2" t="s">
        <v>370</v>
      </c>
      <c r="C620" s="5" t="s">
        <v>297</v>
      </c>
      <c r="D620" s="6" t="s">
        <v>533</v>
      </c>
      <c r="E620" s="30">
        <f>4405.6+851.9</f>
        <v>5257.5</v>
      </c>
      <c r="F620" s="30">
        <f>E620</f>
        <v>5257.5</v>
      </c>
    </row>
    <row r="621" spans="1:6" s="22" customFormat="1" ht="53.25" customHeight="1">
      <c r="A621" s="114" t="s">
        <v>295</v>
      </c>
      <c r="B621" s="2" t="s">
        <v>370</v>
      </c>
      <c r="C621" s="5" t="s">
        <v>294</v>
      </c>
      <c r="D621" s="6" t="s">
        <v>335</v>
      </c>
      <c r="E621" s="30">
        <f>E622</f>
        <v>3114.8</v>
      </c>
      <c r="F621" s="30">
        <f>F622</f>
        <v>3114.8</v>
      </c>
    </row>
    <row r="622" spans="1:6" s="22" customFormat="1" ht="29.25" customHeight="1">
      <c r="A622" s="35" t="s">
        <v>536</v>
      </c>
      <c r="B622" s="2" t="s">
        <v>370</v>
      </c>
      <c r="C622" s="5" t="s">
        <v>294</v>
      </c>
      <c r="D622" s="6" t="s">
        <v>535</v>
      </c>
      <c r="E622" s="30">
        <f>E623</f>
        <v>3114.8</v>
      </c>
      <c r="F622" s="30">
        <f>F623</f>
        <v>3114.8</v>
      </c>
    </row>
    <row r="623" spans="1:6" s="22" customFormat="1" ht="21" customHeight="1">
      <c r="A623" s="74" t="s">
        <v>534</v>
      </c>
      <c r="B623" s="2" t="s">
        <v>370</v>
      </c>
      <c r="C623" s="5" t="s">
        <v>294</v>
      </c>
      <c r="D623" s="6" t="s">
        <v>533</v>
      </c>
      <c r="E623" s="30">
        <f>3114.8</f>
        <v>3114.8</v>
      </c>
      <c r="F623" s="30">
        <f>E623</f>
        <v>3114.8</v>
      </c>
    </row>
    <row r="624" spans="1:6" s="22" customFormat="1" ht="27" customHeight="1">
      <c r="A624" s="12" t="s">
        <v>536</v>
      </c>
      <c r="B624" s="2" t="s">
        <v>370</v>
      </c>
      <c r="C624" s="5" t="s">
        <v>126</v>
      </c>
      <c r="D624" s="6" t="s">
        <v>535</v>
      </c>
      <c r="E624" s="30">
        <f>E625</f>
        <v>1551.5</v>
      </c>
      <c r="F624" s="25"/>
    </row>
    <row r="625" spans="1:6" s="22" customFormat="1" ht="21.75" customHeight="1">
      <c r="A625" s="15" t="s">
        <v>534</v>
      </c>
      <c r="B625" s="2" t="s">
        <v>370</v>
      </c>
      <c r="C625" s="5" t="s">
        <v>126</v>
      </c>
      <c r="D625" s="6" t="s">
        <v>533</v>
      </c>
      <c r="E625" s="30">
        <f>1001.5+550</f>
        <v>1551.5</v>
      </c>
      <c r="F625" s="25"/>
    </row>
    <row r="626" spans="1:6" s="22" customFormat="1" ht="30.75" customHeight="1">
      <c r="A626" s="16" t="s">
        <v>410</v>
      </c>
      <c r="B626" s="63" t="s">
        <v>409</v>
      </c>
      <c r="C626" s="63" t="s">
        <v>358</v>
      </c>
      <c r="D626" s="63" t="s">
        <v>335</v>
      </c>
      <c r="E626" s="64">
        <f>E627</f>
        <v>1230</v>
      </c>
      <c r="F626" s="64">
        <f>F627</f>
        <v>1230</v>
      </c>
    </row>
    <row r="627" spans="1:6" s="22" customFormat="1" ht="90" customHeight="1">
      <c r="A627" s="15" t="s">
        <v>23</v>
      </c>
      <c r="B627" s="2" t="s">
        <v>409</v>
      </c>
      <c r="C627" s="86" t="s">
        <v>136</v>
      </c>
      <c r="D627" s="2" t="s">
        <v>335</v>
      </c>
      <c r="E627" s="24">
        <f>E629</f>
        <v>1230</v>
      </c>
      <c r="F627" s="27">
        <f>F629</f>
        <v>1230</v>
      </c>
    </row>
    <row r="628" spans="1:6" s="22" customFormat="1" ht="30.75" customHeight="1">
      <c r="A628" s="35" t="s">
        <v>536</v>
      </c>
      <c r="B628" s="2" t="s">
        <v>409</v>
      </c>
      <c r="C628" s="5" t="s">
        <v>136</v>
      </c>
      <c r="D628" s="2" t="s">
        <v>535</v>
      </c>
      <c r="E628" s="24">
        <f>E629</f>
        <v>1230</v>
      </c>
      <c r="F628" s="24">
        <f>F629</f>
        <v>1230</v>
      </c>
    </row>
    <row r="629" spans="1:6" s="22" customFormat="1" ht="28.5" customHeight="1">
      <c r="A629" s="122" t="s">
        <v>275</v>
      </c>
      <c r="B629" s="2" t="s">
        <v>409</v>
      </c>
      <c r="C629" s="2" t="s">
        <v>136</v>
      </c>
      <c r="D629" s="2" t="s">
        <v>325</v>
      </c>
      <c r="E629" s="24">
        <f>1230</f>
        <v>1230</v>
      </c>
      <c r="F629" s="24">
        <f>E629</f>
        <v>1230</v>
      </c>
    </row>
    <row r="630" spans="1:6" s="22" customFormat="1" ht="18" customHeight="1">
      <c r="A630" s="16" t="s">
        <v>371</v>
      </c>
      <c r="B630" s="63" t="s">
        <v>341</v>
      </c>
      <c r="C630" s="63" t="s">
        <v>358</v>
      </c>
      <c r="D630" s="63" t="s">
        <v>335</v>
      </c>
      <c r="E630" s="64">
        <f>E631+E642</f>
        <v>32652</v>
      </c>
      <c r="F630" s="64">
        <f>F631+F642</f>
        <v>10933</v>
      </c>
    </row>
    <row r="631" spans="1:6" s="22" customFormat="1" ht="54.75" customHeight="1">
      <c r="A631" s="118" t="s">
        <v>58</v>
      </c>
      <c r="B631" s="32" t="s">
        <v>341</v>
      </c>
      <c r="C631" s="32" t="s">
        <v>490</v>
      </c>
      <c r="D631" s="32" t="s">
        <v>335</v>
      </c>
      <c r="E631" s="79">
        <f>E632</f>
        <v>26626.3</v>
      </c>
      <c r="F631" s="79">
        <f>F632</f>
        <v>10813</v>
      </c>
    </row>
    <row r="632" spans="1:6" s="22" customFormat="1" ht="42" customHeight="1">
      <c r="A632" s="35" t="s">
        <v>60</v>
      </c>
      <c r="B632" s="32" t="s">
        <v>341</v>
      </c>
      <c r="C632" s="32" t="s">
        <v>124</v>
      </c>
      <c r="D632" s="32" t="s">
        <v>335</v>
      </c>
      <c r="E632" s="79">
        <f>E633+E637+E635</f>
        <v>26626.3</v>
      </c>
      <c r="F632" s="79">
        <f>F633+F637+F635</f>
        <v>10813</v>
      </c>
    </row>
    <row r="633" spans="1:6" s="22" customFormat="1" ht="18.75" customHeight="1">
      <c r="A633" s="34" t="s">
        <v>509</v>
      </c>
      <c r="B633" s="32" t="s">
        <v>341</v>
      </c>
      <c r="C633" s="32" t="s">
        <v>124</v>
      </c>
      <c r="D633" s="32" t="s">
        <v>508</v>
      </c>
      <c r="E633" s="79">
        <f>E634</f>
        <v>15098.3</v>
      </c>
      <c r="F633" s="79">
        <f>F634</f>
        <v>0</v>
      </c>
    </row>
    <row r="634" spans="1:6" s="22" customFormat="1" ht="27.75" customHeight="1">
      <c r="A634" s="118" t="s">
        <v>511</v>
      </c>
      <c r="B634" s="32" t="s">
        <v>341</v>
      </c>
      <c r="C634" s="32" t="s">
        <v>124</v>
      </c>
      <c r="D634" s="32" t="s">
        <v>510</v>
      </c>
      <c r="E634" s="79">
        <f>12600-500-216.4+1000+1.4+500+1713.3</f>
        <v>15098.3</v>
      </c>
      <c r="F634" s="79">
        <v>0</v>
      </c>
    </row>
    <row r="635" spans="1:6" s="22" customFormat="1" ht="27.75" customHeight="1">
      <c r="A635" s="123" t="s">
        <v>536</v>
      </c>
      <c r="B635" s="32" t="s">
        <v>341</v>
      </c>
      <c r="C635" s="32" t="s">
        <v>124</v>
      </c>
      <c r="D635" s="32" t="s">
        <v>535</v>
      </c>
      <c r="E635" s="79">
        <f>E636</f>
        <v>715</v>
      </c>
      <c r="F635" s="79">
        <f>F636</f>
        <v>0</v>
      </c>
    </row>
    <row r="636" spans="1:6" s="22" customFormat="1" ht="21" customHeight="1">
      <c r="A636" s="116" t="s">
        <v>534</v>
      </c>
      <c r="B636" s="32" t="s">
        <v>341</v>
      </c>
      <c r="C636" s="32" t="s">
        <v>124</v>
      </c>
      <c r="D636" s="37" t="s">
        <v>533</v>
      </c>
      <c r="E636" s="78">
        <f>500+216.4-1.4</f>
        <v>715</v>
      </c>
      <c r="F636" s="78">
        <v>0</v>
      </c>
    </row>
    <row r="637" spans="1:6" s="22" customFormat="1" ht="27.75" customHeight="1">
      <c r="A637" s="118" t="s">
        <v>209</v>
      </c>
      <c r="B637" s="32" t="s">
        <v>341</v>
      </c>
      <c r="C637" s="32" t="s">
        <v>210</v>
      </c>
      <c r="D637" s="32" t="s">
        <v>335</v>
      </c>
      <c r="E637" s="79">
        <f>E638+E640</f>
        <v>10813</v>
      </c>
      <c r="F637" s="79">
        <f>F638+F640</f>
        <v>10813</v>
      </c>
    </row>
    <row r="638" spans="1:6" s="22" customFormat="1" ht="24" customHeight="1">
      <c r="A638" s="118" t="s">
        <v>509</v>
      </c>
      <c r="B638" s="32" t="s">
        <v>341</v>
      </c>
      <c r="C638" s="32" t="s">
        <v>210</v>
      </c>
      <c r="D638" s="32" t="s">
        <v>508</v>
      </c>
      <c r="E638" s="79">
        <f>E639</f>
        <v>6229.1</v>
      </c>
      <c r="F638" s="79">
        <f>F639</f>
        <v>6229.1</v>
      </c>
    </row>
    <row r="639" spans="1:6" s="22" customFormat="1" ht="27.75" customHeight="1">
      <c r="A639" s="118" t="s">
        <v>511</v>
      </c>
      <c r="B639" s="32" t="s">
        <v>341</v>
      </c>
      <c r="C639" s="32" t="s">
        <v>210</v>
      </c>
      <c r="D639" s="32" t="s">
        <v>510</v>
      </c>
      <c r="E639" s="79">
        <f>10813-5046.3+442.3+20.1</f>
        <v>6229.1</v>
      </c>
      <c r="F639" s="79">
        <f>E639</f>
        <v>6229.1</v>
      </c>
    </row>
    <row r="640" spans="1:6" s="22" customFormat="1" ht="30.75" customHeight="1">
      <c r="A640" s="35" t="s">
        <v>536</v>
      </c>
      <c r="B640" s="32" t="s">
        <v>341</v>
      </c>
      <c r="C640" s="32" t="s">
        <v>210</v>
      </c>
      <c r="D640" s="37" t="s">
        <v>535</v>
      </c>
      <c r="E640" s="78">
        <f>E641</f>
        <v>4583.9</v>
      </c>
      <c r="F640" s="78">
        <f>F641</f>
        <v>4583.9</v>
      </c>
    </row>
    <row r="641" spans="1:6" s="22" customFormat="1" ht="23.25" customHeight="1">
      <c r="A641" s="116" t="s">
        <v>534</v>
      </c>
      <c r="B641" s="32" t="s">
        <v>341</v>
      </c>
      <c r="C641" s="32" t="s">
        <v>210</v>
      </c>
      <c r="D641" s="37" t="s">
        <v>533</v>
      </c>
      <c r="E641" s="78">
        <f>5046.3-442.3-20.1</f>
        <v>4583.9</v>
      </c>
      <c r="F641" s="78">
        <f>E641</f>
        <v>4583.9</v>
      </c>
    </row>
    <row r="642" spans="1:11" s="31" customFormat="1" ht="43.5" customHeight="1">
      <c r="A642" s="131" t="s">
        <v>56</v>
      </c>
      <c r="B642" s="32" t="s">
        <v>341</v>
      </c>
      <c r="C642" s="32" t="s">
        <v>120</v>
      </c>
      <c r="D642" s="32" t="s">
        <v>335</v>
      </c>
      <c r="E642" s="79">
        <f>E643+E653</f>
        <v>6025.7</v>
      </c>
      <c r="F642" s="79">
        <f>F643+F653</f>
        <v>120</v>
      </c>
      <c r="G642" s="39"/>
      <c r="H642" s="39"/>
      <c r="I642" s="39"/>
      <c r="J642" s="39"/>
      <c r="K642" s="39"/>
    </row>
    <row r="643" spans="1:11" s="31" customFormat="1" ht="41.25" customHeight="1">
      <c r="A643" s="130" t="s">
        <v>545</v>
      </c>
      <c r="B643" s="32" t="s">
        <v>341</v>
      </c>
      <c r="C643" s="32" t="s">
        <v>457</v>
      </c>
      <c r="D643" s="32" t="s">
        <v>335</v>
      </c>
      <c r="E643" s="79">
        <f>E647+E650+E644</f>
        <v>4525.7</v>
      </c>
      <c r="F643" s="79">
        <f>F647+F650+F644</f>
        <v>120</v>
      </c>
      <c r="G643" s="39"/>
      <c r="H643" s="39"/>
      <c r="I643" s="39"/>
      <c r="J643" s="39"/>
      <c r="K643" s="39"/>
    </row>
    <row r="644" spans="1:11" s="31" customFormat="1" ht="45" customHeight="1">
      <c r="A644" s="35" t="s">
        <v>237</v>
      </c>
      <c r="B644" s="32" t="s">
        <v>341</v>
      </c>
      <c r="C644" s="5" t="s">
        <v>64</v>
      </c>
      <c r="D644" s="1" t="s">
        <v>335</v>
      </c>
      <c r="E644" s="73">
        <f>E645</f>
        <v>120</v>
      </c>
      <c r="F644" s="73">
        <f>F647+F645</f>
        <v>120</v>
      </c>
      <c r="G644" s="39"/>
      <c r="H644" s="39"/>
      <c r="I644" s="39"/>
      <c r="J644" s="39"/>
      <c r="K644" s="39"/>
    </row>
    <row r="645" spans="1:11" s="31" customFormat="1" ht="23.25" customHeight="1">
      <c r="A645" s="34" t="s">
        <v>509</v>
      </c>
      <c r="B645" s="32" t="s">
        <v>341</v>
      </c>
      <c r="C645" s="5" t="s">
        <v>64</v>
      </c>
      <c r="D645" s="1" t="s">
        <v>508</v>
      </c>
      <c r="E645" s="73">
        <f>E646</f>
        <v>120</v>
      </c>
      <c r="F645" s="73">
        <f>F646</f>
        <v>120</v>
      </c>
      <c r="G645" s="39"/>
      <c r="H645" s="39"/>
      <c r="I645" s="39"/>
      <c r="J645" s="39"/>
      <c r="K645" s="39"/>
    </row>
    <row r="646" spans="1:11" s="31" customFormat="1" ht="30.75" customHeight="1">
      <c r="A646" s="34" t="s">
        <v>511</v>
      </c>
      <c r="B646" s="32" t="s">
        <v>341</v>
      </c>
      <c r="C646" s="5" t="s">
        <v>64</v>
      </c>
      <c r="D646" s="1" t="s">
        <v>510</v>
      </c>
      <c r="E646" s="73">
        <v>120</v>
      </c>
      <c r="F646" s="73">
        <f>E646</f>
        <v>120</v>
      </c>
      <c r="G646" s="39"/>
      <c r="H646" s="39"/>
      <c r="I646" s="39"/>
      <c r="J646" s="39"/>
      <c r="K646" s="39"/>
    </row>
    <row r="647" spans="1:11" s="31" customFormat="1" ht="27" customHeight="1">
      <c r="A647" s="41" t="s">
        <v>367</v>
      </c>
      <c r="B647" s="32" t="s">
        <v>341</v>
      </c>
      <c r="C647" s="32" t="s">
        <v>121</v>
      </c>
      <c r="D647" s="32" t="s">
        <v>335</v>
      </c>
      <c r="E647" s="79">
        <f>E648</f>
        <v>3305.7</v>
      </c>
      <c r="F647" s="40"/>
      <c r="G647" s="39"/>
      <c r="H647" s="39"/>
      <c r="I647" s="39"/>
      <c r="J647" s="39"/>
      <c r="K647" s="39"/>
    </row>
    <row r="648" spans="1:11" s="31" customFormat="1" ht="30" customHeight="1">
      <c r="A648" s="35" t="s">
        <v>536</v>
      </c>
      <c r="B648" s="32" t="s">
        <v>341</v>
      </c>
      <c r="C648" s="32" t="s">
        <v>121</v>
      </c>
      <c r="D648" s="32" t="s">
        <v>535</v>
      </c>
      <c r="E648" s="79">
        <f>E649</f>
        <v>3305.7</v>
      </c>
      <c r="F648" s="40"/>
      <c r="G648" s="39"/>
      <c r="H648" s="39"/>
      <c r="I648" s="39"/>
      <c r="J648" s="39"/>
      <c r="K648" s="39"/>
    </row>
    <row r="649" spans="1:11" s="31" customFormat="1" ht="21" customHeight="1">
      <c r="A649" s="15" t="s">
        <v>534</v>
      </c>
      <c r="B649" s="32" t="s">
        <v>341</v>
      </c>
      <c r="C649" s="32" t="s">
        <v>121</v>
      </c>
      <c r="D649" s="32" t="s">
        <v>533</v>
      </c>
      <c r="E649" s="79">
        <f>9121+1500+500-850-1130-5645.3-190</f>
        <v>3305.7</v>
      </c>
      <c r="F649" s="40"/>
      <c r="G649" s="39"/>
      <c r="H649" s="39"/>
      <c r="I649" s="39"/>
      <c r="J649" s="39"/>
      <c r="K649" s="39"/>
    </row>
    <row r="650" spans="1:11" s="31" customFormat="1" ht="29.25" customHeight="1">
      <c r="A650" s="41" t="s">
        <v>546</v>
      </c>
      <c r="B650" s="32" t="s">
        <v>341</v>
      </c>
      <c r="C650" s="32" t="s">
        <v>122</v>
      </c>
      <c r="D650" s="32" t="s">
        <v>335</v>
      </c>
      <c r="E650" s="79">
        <f>E651</f>
        <v>1100</v>
      </c>
      <c r="F650" s="40"/>
      <c r="G650" s="39"/>
      <c r="H650" s="39"/>
      <c r="I650" s="39"/>
      <c r="J650" s="39"/>
      <c r="K650" s="39"/>
    </row>
    <row r="651" spans="1:11" s="31" customFormat="1" ht="27" customHeight="1">
      <c r="A651" s="123" t="s">
        <v>536</v>
      </c>
      <c r="B651" s="32" t="s">
        <v>341</v>
      </c>
      <c r="C651" s="32" t="s">
        <v>122</v>
      </c>
      <c r="D651" s="32" t="s">
        <v>535</v>
      </c>
      <c r="E651" s="79">
        <f>E652</f>
        <v>1100</v>
      </c>
      <c r="F651" s="40"/>
      <c r="G651" s="39"/>
      <c r="H651" s="39"/>
      <c r="I651" s="39"/>
      <c r="J651" s="39"/>
      <c r="K651" s="39"/>
    </row>
    <row r="652" spans="1:11" s="31" customFormat="1" ht="18.75" customHeight="1">
      <c r="A652" s="117" t="s">
        <v>534</v>
      </c>
      <c r="B652" s="32" t="s">
        <v>341</v>
      </c>
      <c r="C652" s="32" t="s">
        <v>122</v>
      </c>
      <c r="D652" s="32" t="s">
        <v>533</v>
      </c>
      <c r="E652" s="79">
        <f>3000-1300-320-280</f>
        <v>1100</v>
      </c>
      <c r="F652" s="40"/>
      <c r="G652" s="39"/>
      <c r="H652" s="39"/>
      <c r="I652" s="39"/>
      <c r="J652" s="39"/>
      <c r="K652" s="39"/>
    </row>
    <row r="653" spans="1:11" s="31" customFormat="1" ht="41.25" customHeight="1">
      <c r="A653" s="41" t="s">
        <v>207</v>
      </c>
      <c r="B653" s="32" t="s">
        <v>341</v>
      </c>
      <c r="C653" s="32" t="s">
        <v>458</v>
      </c>
      <c r="D653" s="32" t="s">
        <v>335</v>
      </c>
      <c r="E653" s="79">
        <f>E654</f>
        <v>1500</v>
      </c>
      <c r="F653" s="40"/>
      <c r="G653" s="39"/>
      <c r="H653" s="39"/>
      <c r="I653" s="39"/>
      <c r="J653" s="39"/>
      <c r="K653" s="39"/>
    </row>
    <row r="654" spans="1:11" s="31" customFormat="1" ht="20.25" customHeight="1">
      <c r="A654" s="34" t="s">
        <v>509</v>
      </c>
      <c r="B654" s="32" t="s">
        <v>341</v>
      </c>
      <c r="C654" s="32" t="s">
        <v>206</v>
      </c>
      <c r="D654" s="32" t="s">
        <v>508</v>
      </c>
      <c r="E654" s="79">
        <f>E655</f>
        <v>1500</v>
      </c>
      <c r="F654" s="40"/>
      <c r="G654" s="39"/>
      <c r="H654" s="39"/>
      <c r="I654" s="39"/>
      <c r="J654" s="39"/>
      <c r="K654" s="39"/>
    </row>
    <row r="655" spans="1:11" s="31" customFormat="1" ht="29.25" customHeight="1">
      <c r="A655" s="34" t="s">
        <v>511</v>
      </c>
      <c r="B655" s="32" t="s">
        <v>341</v>
      </c>
      <c r="C655" s="32" t="s">
        <v>206</v>
      </c>
      <c r="D655" s="32" t="s">
        <v>510</v>
      </c>
      <c r="E655" s="79">
        <f>1300+200</f>
        <v>1500</v>
      </c>
      <c r="F655" s="40"/>
      <c r="G655" s="39"/>
      <c r="H655" s="39"/>
      <c r="I655" s="39"/>
      <c r="J655" s="39"/>
      <c r="K655" s="39"/>
    </row>
    <row r="656" spans="1:11" s="31" customFormat="1" ht="17.25" customHeight="1">
      <c r="A656" s="60" t="s">
        <v>372</v>
      </c>
      <c r="B656" s="61" t="s">
        <v>373</v>
      </c>
      <c r="C656" s="61" t="s">
        <v>358</v>
      </c>
      <c r="D656" s="61" t="s">
        <v>335</v>
      </c>
      <c r="E656" s="62">
        <f>E657+E685</f>
        <v>68236</v>
      </c>
      <c r="F656" s="62">
        <f>F657</f>
        <v>2582</v>
      </c>
      <c r="G656" s="39"/>
      <c r="H656" s="96"/>
      <c r="I656" s="39"/>
      <c r="J656" s="39"/>
      <c r="K656" s="39"/>
    </row>
    <row r="657" spans="1:11" s="31" customFormat="1" ht="21" customHeight="1">
      <c r="A657" s="35" t="s">
        <v>63</v>
      </c>
      <c r="B657" s="32" t="s">
        <v>373</v>
      </c>
      <c r="C657" s="2" t="s">
        <v>568</v>
      </c>
      <c r="D657" s="2" t="s">
        <v>335</v>
      </c>
      <c r="E657" s="62">
        <f>E658+E670+E679+E682</f>
        <v>68206</v>
      </c>
      <c r="F657" s="62">
        <f>F658+F670+F679+F682</f>
        <v>2582</v>
      </c>
      <c r="G657" s="39"/>
      <c r="H657" s="39"/>
      <c r="I657" s="39"/>
      <c r="J657" s="39"/>
      <c r="K657" s="39"/>
    </row>
    <row r="658" spans="1:11" s="31" customFormat="1" ht="17.25" customHeight="1">
      <c r="A658" s="8" t="s">
        <v>366</v>
      </c>
      <c r="B658" s="32" t="s">
        <v>373</v>
      </c>
      <c r="C658" s="2" t="s">
        <v>459</v>
      </c>
      <c r="D658" s="2" t="s">
        <v>335</v>
      </c>
      <c r="E658" s="79">
        <f>E659+E662+E665</f>
        <v>25478</v>
      </c>
      <c r="F658" s="40"/>
      <c r="G658" s="39"/>
      <c r="H658" s="39"/>
      <c r="I658" s="39"/>
      <c r="J658" s="39"/>
      <c r="K658" s="39"/>
    </row>
    <row r="659" spans="1:11" s="31" customFormat="1" ht="19.5" customHeight="1">
      <c r="A659" s="118" t="s">
        <v>417</v>
      </c>
      <c r="B659" s="32" t="s">
        <v>373</v>
      </c>
      <c r="C659" s="2" t="s">
        <v>570</v>
      </c>
      <c r="D659" s="2" t="s">
        <v>335</v>
      </c>
      <c r="E659" s="79">
        <f>E660</f>
        <v>3693.8</v>
      </c>
      <c r="F659" s="40"/>
      <c r="G659" s="39"/>
      <c r="H659" s="39"/>
      <c r="I659" s="39"/>
      <c r="J659" s="39"/>
      <c r="K659" s="39"/>
    </row>
    <row r="660" spans="1:11" s="31" customFormat="1" ht="67.5" customHeight="1">
      <c r="A660" s="21" t="s">
        <v>522</v>
      </c>
      <c r="B660" s="32" t="s">
        <v>373</v>
      </c>
      <c r="C660" s="2" t="s">
        <v>570</v>
      </c>
      <c r="D660" s="2" t="s">
        <v>514</v>
      </c>
      <c r="E660" s="79">
        <f>E661</f>
        <v>3693.8</v>
      </c>
      <c r="F660" s="40"/>
      <c r="G660" s="39"/>
      <c r="H660" s="39"/>
      <c r="I660" s="39"/>
      <c r="J660" s="39"/>
      <c r="K660" s="39"/>
    </row>
    <row r="661" spans="1:11" s="31" customFormat="1" ht="23.25" customHeight="1">
      <c r="A661" s="20" t="s">
        <v>507</v>
      </c>
      <c r="B661" s="32" t="s">
        <v>373</v>
      </c>
      <c r="C661" s="2" t="s">
        <v>570</v>
      </c>
      <c r="D661" s="2" t="s">
        <v>506</v>
      </c>
      <c r="E661" s="79">
        <v>3693.8</v>
      </c>
      <c r="F661" s="40"/>
      <c r="G661" s="39"/>
      <c r="H661" s="39"/>
      <c r="I661" s="39"/>
      <c r="J661" s="39"/>
      <c r="K661" s="39"/>
    </row>
    <row r="662" spans="1:11" s="31" customFormat="1" ht="17.25" customHeight="1">
      <c r="A662" s="118" t="s">
        <v>418</v>
      </c>
      <c r="B662" s="32" t="s">
        <v>373</v>
      </c>
      <c r="C662" s="2" t="s">
        <v>571</v>
      </c>
      <c r="D662" s="2" t="s">
        <v>335</v>
      </c>
      <c r="E662" s="79">
        <f>E663</f>
        <v>17454.2</v>
      </c>
      <c r="F662" s="40"/>
      <c r="G662" s="39"/>
      <c r="H662" s="39"/>
      <c r="I662" s="39"/>
      <c r="J662" s="39"/>
      <c r="K662" s="39"/>
    </row>
    <row r="663" spans="1:11" s="31" customFormat="1" ht="65.25" customHeight="1">
      <c r="A663" s="21" t="s">
        <v>522</v>
      </c>
      <c r="B663" s="32" t="s">
        <v>373</v>
      </c>
      <c r="C663" s="2" t="s">
        <v>571</v>
      </c>
      <c r="D663" s="2" t="s">
        <v>514</v>
      </c>
      <c r="E663" s="79">
        <f>E664</f>
        <v>17454.2</v>
      </c>
      <c r="F663" s="40"/>
      <c r="G663" s="39"/>
      <c r="H663" s="39"/>
      <c r="I663" s="39"/>
      <c r="J663" s="39"/>
      <c r="K663" s="39"/>
    </row>
    <row r="664" spans="1:11" s="31" customFormat="1" ht="23.25" customHeight="1">
      <c r="A664" s="21" t="s">
        <v>507</v>
      </c>
      <c r="B664" s="32" t="s">
        <v>373</v>
      </c>
      <c r="C664" s="2" t="s">
        <v>571</v>
      </c>
      <c r="D664" s="2" t="s">
        <v>506</v>
      </c>
      <c r="E664" s="79">
        <f>17222.4+231.8</f>
        <v>17454.2</v>
      </c>
      <c r="F664" s="40"/>
      <c r="G664" s="39"/>
      <c r="H664" s="39"/>
      <c r="I664" s="39"/>
      <c r="J664" s="39"/>
      <c r="K664" s="39"/>
    </row>
    <row r="665" spans="1:11" s="31" customFormat="1" ht="25.5">
      <c r="A665" s="34" t="s">
        <v>309</v>
      </c>
      <c r="B665" s="32" t="s">
        <v>373</v>
      </c>
      <c r="C665" s="2" t="s">
        <v>572</v>
      </c>
      <c r="D665" s="2" t="s">
        <v>335</v>
      </c>
      <c r="E665" s="79">
        <f>E666+E668</f>
        <v>4330</v>
      </c>
      <c r="F665" s="40"/>
      <c r="G665" s="39"/>
      <c r="H665" s="39"/>
      <c r="I665" s="39"/>
      <c r="J665" s="39"/>
      <c r="K665" s="39"/>
    </row>
    <row r="666" spans="1:11" s="31" customFormat="1" ht="28.5" customHeight="1">
      <c r="A666" s="10" t="s">
        <v>323</v>
      </c>
      <c r="B666" s="32" t="s">
        <v>373</v>
      </c>
      <c r="C666" s="2" t="s">
        <v>572</v>
      </c>
      <c r="D666" s="2" t="s">
        <v>508</v>
      </c>
      <c r="E666" s="79">
        <f>E667</f>
        <v>1980</v>
      </c>
      <c r="F666" s="40"/>
      <c r="G666" s="39"/>
      <c r="H666" s="39"/>
      <c r="I666" s="39"/>
      <c r="J666" s="39"/>
      <c r="K666" s="39"/>
    </row>
    <row r="667" spans="1:11" s="31" customFormat="1" ht="29.25" customHeight="1">
      <c r="A667" s="34" t="s">
        <v>272</v>
      </c>
      <c r="B667" s="32" t="s">
        <v>373</v>
      </c>
      <c r="C667" s="2" t="s">
        <v>572</v>
      </c>
      <c r="D667" s="2" t="s">
        <v>510</v>
      </c>
      <c r="E667" s="79">
        <v>1980</v>
      </c>
      <c r="F667" s="40"/>
      <c r="G667" s="39"/>
      <c r="H667" s="39"/>
      <c r="I667" s="39"/>
      <c r="J667" s="39"/>
      <c r="K667" s="39"/>
    </row>
    <row r="668" spans="1:11" s="31" customFormat="1" ht="21.75" customHeight="1">
      <c r="A668" s="118" t="s">
        <v>513</v>
      </c>
      <c r="B668" s="32" t="s">
        <v>373</v>
      </c>
      <c r="C668" s="2" t="s">
        <v>572</v>
      </c>
      <c r="D668" s="2" t="s">
        <v>512</v>
      </c>
      <c r="E668" s="79">
        <f>E669</f>
        <v>2350</v>
      </c>
      <c r="F668" s="40"/>
      <c r="G668" s="39"/>
      <c r="H668" s="39"/>
      <c r="I668" s="39"/>
      <c r="J668" s="39"/>
      <c r="K668" s="39"/>
    </row>
    <row r="669" spans="1:11" s="31" customFormat="1" ht="21.75" customHeight="1">
      <c r="A669" s="118" t="s">
        <v>532</v>
      </c>
      <c r="B669" s="32" t="s">
        <v>373</v>
      </c>
      <c r="C669" s="2" t="s">
        <v>572</v>
      </c>
      <c r="D669" s="2" t="s">
        <v>531</v>
      </c>
      <c r="E669" s="73">
        <f>1500+850</f>
        <v>2350</v>
      </c>
      <c r="F669" s="27"/>
      <c r="G669" s="39"/>
      <c r="H669" s="39"/>
      <c r="I669" s="39"/>
      <c r="J669" s="39"/>
      <c r="K669" s="39"/>
    </row>
    <row r="670" spans="1:6" s="22" customFormat="1" ht="24.75" customHeight="1">
      <c r="A670" s="9" t="s">
        <v>367</v>
      </c>
      <c r="B670" s="2" t="s">
        <v>373</v>
      </c>
      <c r="C670" s="2" t="s">
        <v>358</v>
      </c>
      <c r="D670" s="2" t="s">
        <v>335</v>
      </c>
      <c r="E670" s="24">
        <f>E674+E671</f>
        <v>27561</v>
      </c>
      <c r="F670" s="24">
        <f>F674+F671</f>
        <v>2582</v>
      </c>
    </row>
    <row r="671" spans="1:6" s="22" customFormat="1" ht="66.75" customHeight="1">
      <c r="A671" s="9" t="s">
        <v>251</v>
      </c>
      <c r="B671" s="2" t="s">
        <v>373</v>
      </c>
      <c r="C671" s="76" t="s">
        <v>484</v>
      </c>
      <c r="D671" s="2" t="s">
        <v>335</v>
      </c>
      <c r="E671" s="24">
        <f>E672</f>
        <v>2582</v>
      </c>
      <c r="F671" s="24">
        <f>F672</f>
        <v>2582</v>
      </c>
    </row>
    <row r="672" spans="1:6" s="22" customFormat="1" ht="66" customHeight="1">
      <c r="A672" s="21" t="s">
        <v>522</v>
      </c>
      <c r="B672" s="2" t="s">
        <v>373</v>
      </c>
      <c r="C672" s="2" t="s">
        <v>484</v>
      </c>
      <c r="D672" s="2" t="s">
        <v>514</v>
      </c>
      <c r="E672" s="30">
        <f>E673</f>
        <v>2582</v>
      </c>
      <c r="F672" s="30">
        <f>F673</f>
        <v>2582</v>
      </c>
    </row>
    <row r="673" spans="1:6" s="22" customFormat="1" ht="20.25" customHeight="1">
      <c r="A673" s="80" t="s">
        <v>530</v>
      </c>
      <c r="B673" s="2" t="s">
        <v>373</v>
      </c>
      <c r="C673" s="2" t="s">
        <v>484</v>
      </c>
      <c r="D673" s="2" t="s">
        <v>523</v>
      </c>
      <c r="E673" s="24">
        <f>2882-300</f>
        <v>2582</v>
      </c>
      <c r="F673" s="24">
        <f>E673</f>
        <v>2582</v>
      </c>
    </row>
    <row r="674" spans="1:6" s="22" customFormat="1" ht="66.75" customHeight="1">
      <c r="A674" s="9" t="s">
        <v>306</v>
      </c>
      <c r="B674" s="2" t="s">
        <v>373</v>
      </c>
      <c r="C674" s="2" t="s">
        <v>620</v>
      </c>
      <c r="D674" s="2" t="s">
        <v>335</v>
      </c>
      <c r="E674" s="24">
        <f>E675+E677</f>
        <v>24979</v>
      </c>
      <c r="F674" s="24">
        <f>F675+F677</f>
        <v>0</v>
      </c>
    </row>
    <row r="675" spans="1:6" s="22" customFormat="1" ht="68.25" customHeight="1">
      <c r="A675" s="20" t="s">
        <v>522</v>
      </c>
      <c r="B675" s="2" t="s">
        <v>373</v>
      </c>
      <c r="C675" s="2" t="s">
        <v>620</v>
      </c>
      <c r="D675" s="32" t="s">
        <v>514</v>
      </c>
      <c r="E675" s="24">
        <f>E676</f>
        <v>21041.2</v>
      </c>
      <c r="F675" s="27"/>
    </row>
    <row r="676" spans="1:6" s="22" customFormat="1" ht="24.75" customHeight="1">
      <c r="A676" s="80" t="s">
        <v>530</v>
      </c>
      <c r="B676" s="5" t="s">
        <v>373</v>
      </c>
      <c r="C676" s="5" t="s">
        <v>620</v>
      </c>
      <c r="D676" s="37" t="s">
        <v>523</v>
      </c>
      <c r="E676" s="30">
        <v>21041.2</v>
      </c>
      <c r="F676" s="29"/>
    </row>
    <row r="677" spans="1:6" s="22" customFormat="1" ht="28.5" customHeight="1">
      <c r="A677" s="10" t="s">
        <v>323</v>
      </c>
      <c r="B677" s="5" t="s">
        <v>373</v>
      </c>
      <c r="C677" s="5" t="s">
        <v>620</v>
      </c>
      <c r="D677" s="37" t="s">
        <v>508</v>
      </c>
      <c r="E677" s="30">
        <f>E678</f>
        <v>3937.8</v>
      </c>
      <c r="F677" s="29"/>
    </row>
    <row r="678" spans="1:6" s="22" customFormat="1" ht="31.5" customHeight="1">
      <c r="A678" s="118" t="s">
        <v>272</v>
      </c>
      <c r="B678" s="2" t="s">
        <v>373</v>
      </c>
      <c r="C678" s="2" t="s">
        <v>620</v>
      </c>
      <c r="D678" s="32" t="s">
        <v>510</v>
      </c>
      <c r="E678" s="24">
        <v>3937.8</v>
      </c>
      <c r="F678" s="27"/>
    </row>
    <row r="679" spans="1:6" s="22" customFormat="1" ht="30.75" customHeight="1">
      <c r="A679" s="117" t="s">
        <v>566</v>
      </c>
      <c r="B679" s="2" t="s">
        <v>373</v>
      </c>
      <c r="C679" s="2" t="s">
        <v>585</v>
      </c>
      <c r="D679" s="2" t="s">
        <v>335</v>
      </c>
      <c r="E679" s="24">
        <f>E680</f>
        <v>14107</v>
      </c>
      <c r="F679" s="27"/>
    </row>
    <row r="680" spans="1:6" s="22" customFormat="1" ht="36" customHeight="1">
      <c r="A680" s="35" t="s">
        <v>536</v>
      </c>
      <c r="B680" s="5" t="s">
        <v>373</v>
      </c>
      <c r="C680" s="5" t="s">
        <v>585</v>
      </c>
      <c r="D680" s="2" t="s">
        <v>535</v>
      </c>
      <c r="E680" s="30">
        <f>E681</f>
        <v>14107</v>
      </c>
      <c r="F680" s="29"/>
    </row>
    <row r="681" spans="1:6" s="22" customFormat="1" ht="26.25" customHeight="1">
      <c r="A681" s="117" t="s">
        <v>534</v>
      </c>
      <c r="B681" s="2" t="s">
        <v>373</v>
      </c>
      <c r="C681" s="2" t="s">
        <v>585</v>
      </c>
      <c r="D681" s="2" t="s">
        <v>533</v>
      </c>
      <c r="E681" s="24">
        <f>14042+65</f>
        <v>14107</v>
      </c>
      <c r="F681" s="27"/>
    </row>
    <row r="682" spans="1:6" s="22" customFormat="1" ht="21.75" customHeight="1">
      <c r="A682" s="117" t="s">
        <v>558</v>
      </c>
      <c r="B682" s="2" t="s">
        <v>373</v>
      </c>
      <c r="C682" s="2" t="s">
        <v>598</v>
      </c>
      <c r="D682" s="2" t="s">
        <v>335</v>
      </c>
      <c r="E682" s="24">
        <f>E683</f>
        <v>1060</v>
      </c>
      <c r="F682" s="27"/>
    </row>
    <row r="683" spans="1:6" s="22" customFormat="1" ht="28.5" customHeight="1">
      <c r="A683" s="35" t="s">
        <v>536</v>
      </c>
      <c r="B683" s="5" t="s">
        <v>373</v>
      </c>
      <c r="C683" s="5" t="s">
        <v>598</v>
      </c>
      <c r="D683" s="2" t="s">
        <v>535</v>
      </c>
      <c r="E683" s="30">
        <f>E684</f>
        <v>1060</v>
      </c>
      <c r="F683" s="29"/>
    </row>
    <row r="684" spans="1:6" s="22" customFormat="1" ht="22.5" customHeight="1">
      <c r="A684" s="15" t="s">
        <v>534</v>
      </c>
      <c r="B684" s="5" t="s">
        <v>373</v>
      </c>
      <c r="C684" s="5" t="s">
        <v>598</v>
      </c>
      <c r="D684" s="2" t="s">
        <v>533</v>
      </c>
      <c r="E684" s="30">
        <v>1060</v>
      </c>
      <c r="F684" s="29"/>
    </row>
    <row r="685" spans="1:6" s="22" customFormat="1" ht="31.5" customHeight="1">
      <c r="A685" s="135" t="s">
        <v>53</v>
      </c>
      <c r="B685" s="2" t="s">
        <v>373</v>
      </c>
      <c r="C685" s="2" t="s">
        <v>515</v>
      </c>
      <c r="D685" s="2" t="s">
        <v>335</v>
      </c>
      <c r="E685" s="24">
        <f>E686</f>
        <v>30</v>
      </c>
      <c r="F685" s="27"/>
    </row>
    <row r="686" spans="1:6" s="22" customFormat="1" ht="42" customHeight="1">
      <c r="A686" s="110" t="s">
        <v>94</v>
      </c>
      <c r="B686" s="5" t="s">
        <v>373</v>
      </c>
      <c r="C686" s="5" t="s">
        <v>436</v>
      </c>
      <c r="D686" s="5" t="s">
        <v>335</v>
      </c>
      <c r="E686" s="30">
        <f>E687</f>
        <v>30</v>
      </c>
      <c r="F686" s="29"/>
    </row>
    <row r="687" spans="1:6" s="22" customFormat="1" ht="23.25" customHeight="1">
      <c r="A687" s="111" t="s">
        <v>509</v>
      </c>
      <c r="B687" s="5" t="s">
        <v>373</v>
      </c>
      <c r="C687" s="5" t="s">
        <v>95</v>
      </c>
      <c r="D687" s="5" t="s">
        <v>508</v>
      </c>
      <c r="E687" s="30">
        <f>E688</f>
        <v>30</v>
      </c>
      <c r="F687" s="29"/>
    </row>
    <row r="688" spans="1:6" s="22" customFormat="1" ht="35.25" customHeight="1">
      <c r="A688" s="111" t="s">
        <v>511</v>
      </c>
      <c r="B688" s="5" t="s">
        <v>373</v>
      </c>
      <c r="C688" s="5" t="s">
        <v>95</v>
      </c>
      <c r="D688" s="5" t="s">
        <v>510</v>
      </c>
      <c r="E688" s="30">
        <v>30</v>
      </c>
      <c r="F688" s="29"/>
    </row>
    <row r="689" spans="1:6" s="22" customFormat="1" ht="17.25" customHeight="1">
      <c r="A689" s="120" t="s">
        <v>319</v>
      </c>
      <c r="B689" s="58" t="s">
        <v>378</v>
      </c>
      <c r="C689" s="58" t="s">
        <v>358</v>
      </c>
      <c r="D689" s="58" t="s">
        <v>335</v>
      </c>
      <c r="E689" s="55">
        <f>E733+E690</f>
        <v>104390.02700000002</v>
      </c>
      <c r="F689" s="55">
        <f>F733+F690</f>
        <v>494.3</v>
      </c>
    </row>
    <row r="690" spans="1:6" s="22" customFormat="1" ht="18" customHeight="1">
      <c r="A690" s="16" t="s">
        <v>379</v>
      </c>
      <c r="B690" s="2" t="s">
        <v>380</v>
      </c>
      <c r="C690" s="32" t="s">
        <v>358</v>
      </c>
      <c r="D690" s="2" t="s">
        <v>335</v>
      </c>
      <c r="E690" s="24">
        <f>E691</f>
        <v>88835.22700000001</v>
      </c>
      <c r="F690" s="24">
        <f>F691</f>
        <v>494.3</v>
      </c>
    </row>
    <row r="691" spans="1:6" s="22" customFormat="1" ht="39.75" customHeight="1">
      <c r="A691" s="33" t="s">
        <v>54</v>
      </c>
      <c r="B691" s="5" t="s">
        <v>380</v>
      </c>
      <c r="C691" s="5" t="s">
        <v>454</v>
      </c>
      <c r="D691" s="6" t="s">
        <v>335</v>
      </c>
      <c r="E691" s="30">
        <f>E692+E711+E724+E728</f>
        <v>88835.22700000001</v>
      </c>
      <c r="F691" s="30">
        <f>F692+F711+F724+F728</f>
        <v>494.3</v>
      </c>
    </row>
    <row r="692" spans="1:6" s="22" customFormat="1" ht="23.25" customHeight="1">
      <c r="A692" s="33" t="s">
        <v>499</v>
      </c>
      <c r="B692" s="5" t="s">
        <v>380</v>
      </c>
      <c r="C692" s="5" t="s">
        <v>460</v>
      </c>
      <c r="D692" s="6" t="s">
        <v>335</v>
      </c>
      <c r="E692" s="30">
        <f>E699+E702+E705+E708+E693+E696</f>
        <v>35501.827000000005</v>
      </c>
      <c r="F692" s="30">
        <f>F699+F702+F705+F708+F693+F696</f>
        <v>194.3</v>
      </c>
    </row>
    <row r="693" spans="1:6" s="22" customFormat="1" ht="41.25" customHeight="1">
      <c r="A693" s="35" t="s">
        <v>237</v>
      </c>
      <c r="B693" s="5" t="s">
        <v>380</v>
      </c>
      <c r="C693" s="5" t="s">
        <v>244</v>
      </c>
      <c r="D693" s="6" t="s">
        <v>335</v>
      </c>
      <c r="E693" s="30">
        <f>E694</f>
        <v>100</v>
      </c>
      <c r="F693" s="30">
        <f>F694</f>
        <v>100</v>
      </c>
    </row>
    <row r="694" spans="1:6" s="22" customFormat="1" ht="30" customHeight="1">
      <c r="A694" s="35" t="s">
        <v>536</v>
      </c>
      <c r="B694" s="5" t="s">
        <v>380</v>
      </c>
      <c r="C694" s="5" t="s">
        <v>244</v>
      </c>
      <c r="D694" s="6" t="s">
        <v>535</v>
      </c>
      <c r="E694" s="30">
        <f>E695</f>
        <v>100</v>
      </c>
      <c r="F694" s="30">
        <f>F695</f>
        <v>100</v>
      </c>
    </row>
    <row r="695" spans="1:6" s="22" customFormat="1" ht="23.25" customHeight="1">
      <c r="A695" s="15" t="s">
        <v>534</v>
      </c>
      <c r="B695" s="5" t="s">
        <v>380</v>
      </c>
      <c r="C695" s="5" t="s">
        <v>244</v>
      </c>
      <c r="D695" s="6" t="s">
        <v>533</v>
      </c>
      <c r="E695" s="30">
        <v>100</v>
      </c>
      <c r="F695" s="30">
        <v>100</v>
      </c>
    </row>
    <row r="696" spans="1:6" s="22" customFormat="1" ht="53.25" customHeight="1">
      <c r="A696" s="15" t="s">
        <v>529</v>
      </c>
      <c r="B696" s="5" t="s">
        <v>380</v>
      </c>
      <c r="C696" s="5" t="s">
        <v>375</v>
      </c>
      <c r="D696" s="6" t="s">
        <v>335</v>
      </c>
      <c r="E696" s="30">
        <f>E697</f>
        <v>94.3</v>
      </c>
      <c r="F696" s="30">
        <f>F697</f>
        <v>94.3</v>
      </c>
    </row>
    <row r="697" spans="1:6" s="22" customFormat="1" ht="27.75" customHeight="1">
      <c r="A697" s="35" t="s">
        <v>536</v>
      </c>
      <c r="B697" s="5" t="s">
        <v>380</v>
      </c>
      <c r="C697" s="5" t="s">
        <v>375</v>
      </c>
      <c r="D697" s="6" t="s">
        <v>535</v>
      </c>
      <c r="E697" s="30">
        <f>E698</f>
        <v>94.3</v>
      </c>
      <c r="F697" s="30">
        <f>F698</f>
        <v>94.3</v>
      </c>
    </row>
    <row r="698" spans="1:6" s="22" customFormat="1" ht="23.25" customHeight="1">
      <c r="A698" s="15" t="s">
        <v>534</v>
      </c>
      <c r="B698" s="5" t="s">
        <v>380</v>
      </c>
      <c r="C698" s="5" t="s">
        <v>375</v>
      </c>
      <c r="D698" s="6" t="s">
        <v>533</v>
      </c>
      <c r="E698" s="30">
        <v>94.3</v>
      </c>
      <c r="F698" s="30">
        <v>94.3</v>
      </c>
    </row>
    <row r="699" spans="1:6" s="22" customFormat="1" ht="19.5" customHeight="1">
      <c r="A699" s="9" t="s">
        <v>1</v>
      </c>
      <c r="B699" s="1" t="s">
        <v>380</v>
      </c>
      <c r="C699" s="2" t="s">
        <v>586</v>
      </c>
      <c r="D699" s="1" t="s">
        <v>335</v>
      </c>
      <c r="E699" s="24">
        <f>E700</f>
        <v>22980.527000000002</v>
      </c>
      <c r="F699" s="27"/>
    </row>
    <row r="700" spans="1:6" s="22" customFormat="1" ht="28.5" customHeight="1">
      <c r="A700" s="35" t="s">
        <v>536</v>
      </c>
      <c r="B700" s="5" t="s">
        <v>380</v>
      </c>
      <c r="C700" s="5" t="s">
        <v>586</v>
      </c>
      <c r="D700" s="6" t="s">
        <v>535</v>
      </c>
      <c r="E700" s="30">
        <f>E701</f>
        <v>22980.527000000002</v>
      </c>
      <c r="F700" s="30"/>
    </row>
    <row r="701" spans="1:6" s="22" customFormat="1" ht="20.25" customHeight="1">
      <c r="A701" s="15" t="s">
        <v>534</v>
      </c>
      <c r="B701" s="5" t="s">
        <v>380</v>
      </c>
      <c r="C701" s="5" t="s">
        <v>586</v>
      </c>
      <c r="D701" s="6" t="s">
        <v>533</v>
      </c>
      <c r="E701" s="30">
        <f>36092.5-11226.973-1585-300</f>
        <v>22980.527000000002</v>
      </c>
      <c r="F701" s="30"/>
    </row>
    <row r="702" spans="1:6" s="22" customFormat="1" ht="30" customHeight="1">
      <c r="A702" s="117" t="s">
        <v>502</v>
      </c>
      <c r="B702" s="2" t="s">
        <v>380</v>
      </c>
      <c r="C702" s="2" t="s">
        <v>587</v>
      </c>
      <c r="D702" s="1" t="s">
        <v>335</v>
      </c>
      <c r="E702" s="24">
        <f>E703</f>
        <v>500</v>
      </c>
      <c r="F702" s="24"/>
    </row>
    <row r="703" spans="1:6" s="22" customFormat="1" ht="30" customHeight="1">
      <c r="A703" s="123" t="s">
        <v>536</v>
      </c>
      <c r="B703" s="2" t="s">
        <v>380</v>
      </c>
      <c r="C703" s="2" t="s">
        <v>587</v>
      </c>
      <c r="D703" s="1" t="s">
        <v>535</v>
      </c>
      <c r="E703" s="24">
        <f>E704</f>
        <v>500</v>
      </c>
      <c r="F703" s="24"/>
    </row>
    <row r="704" spans="1:6" s="22" customFormat="1" ht="19.5" customHeight="1">
      <c r="A704" s="15" t="s">
        <v>534</v>
      </c>
      <c r="B704" s="5" t="s">
        <v>380</v>
      </c>
      <c r="C704" s="5" t="s">
        <v>587</v>
      </c>
      <c r="D704" s="6" t="s">
        <v>533</v>
      </c>
      <c r="E704" s="30">
        <v>500</v>
      </c>
      <c r="F704" s="30"/>
    </row>
    <row r="705" spans="1:6" s="22" customFormat="1" ht="22.5" customHeight="1">
      <c r="A705" s="117" t="s">
        <v>553</v>
      </c>
      <c r="B705" s="2" t="s">
        <v>380</v>
      </c>
      <c r="C705" s="2" t="s">
        <v>123</v>
      </c>
      <c r="D705" s="1" t="s">
        <v>335</v>
      </c>
      <c r="E705" s="24">
        <f>E706</f>
        <v>600</v>
      </c>
      <c r="F705" s="24"/>
    </row>
    <row r="706" spans="1:6" s="22" customFormat="1" ht="32.25" customHeight="1">
      <c r="A706" s="123" t="s">
        <v>536</v>
      </c>
      <c r="B706" s="2" t="s">
        <v>380</v>
      </c>
      <c r="C706" s="2" t="s">
        <v>123</v>
      </c>
      <c r="D706" s="1" t="s">
        <v>535</v>
      </c>
      <c r="E706" s="24">
        <f>E707</f>
        <v>600</v>
      </c>
      <c r="F706" s="24"/>
    </row>
    <row r="707" spans="1:6" s="22" customFormat="1" ht="24.75" customHeight="1">
      <c r="A707" s="117" t="s">
        <v>534</v>
      </c>
      <c r="B707" s="2" t="s">
        <v>380</v>
      </c>
      <c r="C707" s="2" t="s">
        <v>123</v>
      </c>
      <c r="D707" s="1" t="s">
        <v>533</v>
      </c>
      <c r="E707" s="24">
        <v>600</v>
      </c>
      <c r="F707" s="24"/>
    </row>
    <row r="708" spans="1:6" s="22" customFormat="1" ht="55.5" customHeight="1">
      <c r="A708" s="15" t="s">
        <v>266</v>
      </c>
      <c r="B708" s="5" t="s">
        <v>380</v>
      </c>
      <c r="C708" s="5" t="s">
        <v>176</v>
      </c>
      <c r="D708" s="6" t="s">
        <v>335</v>
      </c>
      <c r="E708" s="30">
        <f>E709</f>
        <v>11227</v>
      </c>
      <c r="F708" s="30"/>
    </row>
    <row r="709" spans="1:6" s="22" customFormat="1" ht="24" customHeight="1">
      <c r="A709" s="15" t="s">
        <v>170</v>
      </c>
      <c r="B709" s="5" t="s">
        <v>380</v>
      </c>
      <c r="C709" s="5" t="s">
        <v>176</v>
      </c>
      <c r="D709" s="6" t="s">
        <v>600</v>
      </c>
      <c r="E709" s="30">
        <f>E710</f>
        <v>11227</v>
      </c>
      <c r="F709" s="30"/>
    </row>
    <row r="710" spans="1:6" s="22" customFormat="1" ht="22.5" customHeight="1">
      <c r="A710" s="15" t="s">
        <v>422</v>
      </c>
      <c r="B710" s="5" t="s">
        <v>380</v>
      </c>
      <c r="C710" s="5" t="s">
        <v>176</v>
      </c>
      <c r="D710" s="6" t="s">
        <v>421</v>
      </c>
      <c r="E710" s="30">
        <v>11227</v>
      </c>
      <c r="F710" s="30"/>
    </row>
    <row r="711" spans="1:6" s="22" customFormat="1" ht="40.5" customHeight="1">
      <c r="A711" s="15" t="s">
        <v>55</v>
      </c>
      <c r="B711" s="5" t="s">
        <v>380</v>
      </c>
      <c r="C711" s="5" t="s">
        <v>461</v>
      </c>
      <c r="D711" s="6" t="s">
        <v>335</v>
      </c>
      <c r="E711" s="30">
        <f>E715+E718+E712+E721</f>
        <v>52733.4</v>
      </c>
      <c r="F711" s="30">
        <f>F715+F718+F712</f>
        <v>200</v>
      </c>
    </row>
    <row r="712" spans="1:6" s="22" customFormat="1" ht="40.5" customHeight="1">
      <c r="A712" s="123" t="s">
        <v>237</v>
      </c>
      <c r="B712" s="2" t="s">
        <v>380</v>
      </c>
      <c r="C712" s="2" t="s">
        <v>245</v>
      </c>
      <c r="D712" s="1" t="s">
        <v>335</v>
      </c>
      <c r="E712" s="24">
        <f>E713</f>
        <v>200</v>
      </c>
      <c r="F712" s="24">
        <f>F713</f>
        <v>200</v>
      </c>
    </row>
    <row r="713" spans="1:6" s="22" customFormat="1" ht="30.75" customHeight="1">
      <c r="A713" s="35" t="s">
        <v>536</v>
      </c>
      <c r="B713" s="5" t="s">
        <v>380</v>
      </c>
      <c r="C713" s="5" t="s">
        <v>245</v>
      </c>
      <c r="D713" s="6" t="s">
        <v>535</v>
      </c>
      <c r="E713" s="30">
        <f>E714</f>
        <v>200</v>
      </c>
      <c r="F713" s="30">
        <f>F714</f>
        <v>200</v>
      </c>
    </row>
    <row r="714" spans="1:6" s="22" customFormat="1" ht="18" customHeight="1">
      <c r="A714" s="117" t="s">
        <v>534</v>
      </c>
      <c r="B714" s="2" t="s">
        <v>380</v>
      </c>
      <c r="C714" s="2" t="s">
        <v>245</v>
      </c>
      <c r="D714" s="1" t="s">
        <v>533</v>
      </c>
      <c r="E714" s="24">
        <v>200</v>
      </c>
      <c r="F714" s="24">
        <v>200</v>
      </c>
    </row>
    <row r="715" spans="1:6" s="22" customFormat="1" ht="21.75" customHeight="1">
      <c r="A715" s="8" t="s">
        <v>2</v>
      </c>
      <c r="B715" s="5" t="s">
        <v>380</v>
      </c>
      <c r="C715" s="5" t="s">
        <v>588</v>
      </c>
      <c r="D715" s="6" t="s">
        <v>335</v>
      </c>
      <c r="E715" s="30">
        <f>E716</f>
        <v>46690.3</v>
      </c>
      <c r="F715" s="30"/>
    </row>
    <row r="716" spans="1:6" s="22" customFormat="1" ht="30" customHeight="1">
      <c r="A716" s="35" t="s">
        <v>536</v>
      </c>
      <c r="B716" s="5" t="s">
        <v>380</v>
      </c>
      <c r="C716" s="5" t="s">
        <v>588</v>
      </c>
      <c r="D716" s="6" t="s">
        <v>535</v>
      </c>
      <c r="E716" s="30">
        <f>E717</f>
        <v>46690.3</v>
      </c>
      <c r="F716" s="30"/>
    </row>
    <row r="717" spans="1:6" s="22" customFormat="1" ht="22.5" customHeight="1">
      <c r="A717" s="117" t="s">
        <v>534</v>
      </c>
      <c r="B717" s="2" t="s">
        <v>380</v>
      </c>
      <c r="C717" s="2" t="s">
        <v>588</v>
      </c>
      <c r="D717" s="1" t="s">
        <v>533</v>
      </c>
      <c r="E717" s="24">
        <f>52376.4-700-3870+500-635-333-148.1-500</f>
        <v>46690.3</v>
      </c>
      <c r="F717" s="24"/>
    </row>
    <row r="718" spans="1:6" s="22" customFormat="1" ht="19.5" customHeight="1">
      <c r="A718" s="15" t="s">
        <v>10</v>
      </c>
      <c r="B718" s="5" t="s">
        <v>380</v>
      </c>
      <c r="C718" s="5" t="s">
        <v>589</v>
      </c>
      <c r="D718" s="6" t="s">
        <v>335</v>
      </c>
      <c r="E718" s="30">
        <f>E719</f>
        <v>5474.1</v>
      </c>
      <c r="F718" s="30"/>
    </row>
    <row r="719" spans="1:6" s="22" customFormat="1" ht="30.75" customHeight="1">
      <c r="A719" s="35" t="s">
        <v>536</v>
      </c>
      <c r="B719" s="5" t="s">
        <v>380</v>
      </c>
      <c r="C719" s="5" t="s">
        <v>589</v>
      </c>
      <c r="D719" s="6" t="s">
        <v>535</v>
      </c>
      <c r="E719" s="30">
        <f>E720</f>
        <v>5474.1</v>
      </c>
      <c r="F719" s="30"/>
    </row>
    <row r="720" spans="1:6" s="22" customFormat="1" ht="21.75" customHeight="1">
      <c r="A720" s="117" t="s">
        <v>534</v>
      </c>
      <c r="B720" s="2" t="s">
        <v>380</v>
      </c>
      <c r="C720" s="2" t="s">
        <v>589</v>
      </c>
      <c r="D720" s="1" t="s">
        <v>533</v>
      </c>
      <c r="E720" s="24">
        <f>6450+200-800+200-369-765+10+148.1+400</f>
        <v>5474.1</v>
      </c>
      <c r="F720" s="24"/>
    </row>
    <row r="721" spans="1:6" s="22" customFormat="1" ht="25.5" customHeight="1">
      <c r="A721" s="15" t="s">
        <v>553</v>
      </c>
      <c r="B721" s="5" t="s">
        <v>380</v>
      </c>
      <c r="C721" s="5" t="s">
        <v>217</v>
      </c>
      <c r="D721" s="6" t="s">
        <v>335</v>
      </c>
      <c r="E721" s="30">
        <f>E722</f>
        <v>369</v>
      </c>
      <c r="F721" s="30"/>
    </row>
    <row r="722" spans="1:6" s="22" customFormat="1" ht="29.25" customHeight="1">
      <c r="A722" s="123" t="s">
        <v>536</v>
      </c>
      <c r="B722" s="2" t="s">
        <v>380</v>
      </c>
      <c r="C722" s="2" t="s">
        <v>217</v>
      </c>
      <c r="D722" s="1" t="s">
        <v>535</v>
      </c>
      <c r="E722" s="24">
        <f>E723</f>
        <v>369</v>
      </c>
      <c r="F722" s="24"/>
    </row>
    <row r="723" spans="1:6" s="22" customFormat="1" ht="21.75" customHeight="1">
      <c r="A723" s="15" t="s">
        <v>534</v>
      </c>
      <c r="B723" s="5" t="s">
        <v>380</v>
      </c>
      <c r="C723" s="5" t="s">
        <v>217</v>
      </c>
      <c r="D723" s="6" t="s">
        <v>533</v>
      </c>
      <c r="E723" s="30">
        <v>369</v>
      </c>
      <c r="F723" s="30"/>
    </row>
    <row r="724" spans="1:6" s="22" customFormat="1" ht="29.25" customHeight="1">
      <c r="A724" s="117" t="s">
        <v>504</v>
      </c>
      <c r="B724" s="2" t="s">
        <v>380</v>
      </c>
      <c r="C724" s="2" t="s">
        <v>462</v>
      </c>
      <c r="D724" s="1" t="s">
        <v>335</v>
      </c>
      <c r="E724" s="24">
        <f aca="true" t="shared" si="1" ref="E724:F726">E725</f>
        <v>100</v>
      </c>
      <c r="F724" s="24">
        <f t="shared" si="1"/>
        <v>100</v>
      </c>
    </row>
    <row r="725" spans="1:6" s="22" customFormat="1" ht="42" customHeight="1">
      <c r="A725" s="123" t="s">
        <v>237</v>
      </c>
      <c r="B725" s="2" t="s">
        <v>380</v>
      </c>
      <c r="C725" s="2" t="s">
        <v>247</v>
      </c>
      <c r="D725" s="1" t="s">
        <v>335</v>
      </c>
      <c r="E725" s="24">
        <f t="shared" si="1"/>
        <v>100</v>
      </c>
      <c r="F725" s="24">
        <f t="shared" si="1"/>
        <v>100</v>
      </c>
    </row>
    <row r="726" spans="1:6" s="22" customFormat="1" ht="21" customHeight="1">
      <c r="A726" s="34" t="s">
        <v>509</v>
      </c>
      <c r="B726" s="5" t="s">
        <v>380</v>
      </c>
      <c r="C726" s="5" t="s">
        <v>247</v>
      </c>
      <c r="D726" s="6" t="s">
        <v>508</v>
      </c>
      <c r="E726" s="30">
        <f t="shared" si="1"/>
        <v>100</v>
      </c>
      <c r="F726" s="30">
        <f t="shared" si="1"/>
        <v>100</v>
      </c>
    </row>
    <row r="727" spans="1:6" s="22" customFormat="1" ht="29.25" customHeight="1">
      <c r="A727" s="34" t="s">
        <v>511</v>
      </c>
      <c r="B727" s="5" t="s">
        <v>380</v>
      </c>
      <c r="C727" s="5" t="s">
        <v>247</v>
      </c>
      <c r="D727" s="6" t="s">
        <v>510</v>
      </c>
      <c r="E727" s="30">
        <v>100</v>
      </c>
      <c r="F727" s="30">
        <v>100</v>
      </c>
    </row>
    <row r="728" spans="1:6" s="22" customFormat="1" ht="30.75" customHeight="1">
      <c r="A728" s="15" t="s">
        <v>214</v>
      </c>
      <c r="B728" s="5" t="s">
        <v>380</v>
      </c>
      <c r="C728" s="5" t="s">
        <v>463</v>
      </c>
      <c r="D728" s="6" t="s">
        <v>335</v>
      </c>
      <c r="E728" s="30">
        <f>E731+E729</f>
        <v>500.0000000000001</v>
      </c>
      <c r="F728" s="30"/>
    </row>
    <row r="729" spans="1:6" s="22" customFormat="1" ht="66" customHeight="1">
      <c r="A729" s="21" t="s">
        <v>522</v>
      </c>
      <c r="B729" s="5" t="s">
        <v>380</v>
      </c>
      <c r="C729" s="5" t="s">
        <v>215</v>
      </c>
      <c r="D729" s="6" t="s">
        <v>514</v>
      </c>
      <c r="E729" s="30">
        <f>E730</f>
        <v>35.6</v>
      </c>
      <c r="F729" s="30"/>
    </row>
    <row r="730" spans="1:6" s="22" customFormat="1" ht="21" customHeight="1">
      <c r="A730" s="20" t="s">
        <v>507</v>
      </c>
      <c r="B730" s="5" t="s">
        <v>380</v>
      </c>
      <c r="C730" s="5" t="s">
        <v>215</v>
      </c>
      <c r="D730" s="6" t="s">
        <v>506</v>
      </c>
      <c r="E730" s="30">
        <f>17.8+17.8</f>
        <v>35.6</v>
      </c>
      <c r="F730" s="30"/>
    </row>
    <row r="731" spans="1:6" s="22" customFormat="1" ht="23.25" customHeight="1">
      <c r="A731" s="34" t="s">
        <v>509</v>
      </c>
      <c r="B731" s="5" t="s">
        <v>380</v>
      </c>
      <c r="C731" s="5" t="s">
        <v>215</v>
      </c>
      <c r="D731" s="6" t="s">
        <v>508</v>
      </c>
      <c r="E731" s="30">
        <f>E732</f>
        <v>464.4000000000001</v>
      </c>
      <c r="F731" s="30"/>
    </row>
    <row r="732" spans="1:6" s="22" customFormat="1" ht="30.75" customHeight="1">
      <c r="A732" s="34" t="s">
        <v>511</v>
      </c>
      <c r="B732" s="5" t="s">
        <v>380</v>
      </c>
      <c r="C732" s="5" t="s">
        <v>215</v>
      </c>
      <c r="D732" s="6" t="s">
        <v>510</v>
      </c>
      <c r="E732" s="30">
        <f>1600-500-17.8-17.8-500-100</f>
        <v>464.4000000000001</v>
      </c>
      <c r="F732" s="30"/>
    </row>
    <row r="733" spans="1:6" s="22" customFormat="1" ht="25.5">
      <c r="A733" s="14" t="s">
        <v>279</v>
      </c>
      <c r="B733" s="6" t="s">
        <v>280</v>
      </c>
      <c r="C733" s="36" t="s">
        <v>358</v>
      </c>
      <c r="D733" s="6" t="s">
        <v>335</v>
      </c>
      <c r="E733" s="30">
        <f>E734</f>
        <v>15554.800000000003</v>
      </c>
      <c r="F733" s="29"/>
    </row>
    <row r="734" spans="1:6" s="22" customFormat="1" ht="21" customHeight="1">
      <c r="A734" s="15" t="s">
        <v>500</v>
      </c>
      <c r="B734" s="6" t="s">
        <v>280</v>
      </c>
      <c r="C734" s="5" t="s">
        <v>606</v>
      </c>
      <c r="D734" s="6" t="s">
        <v>335</v>
      </c>
      <c r="E734" s="30">
        <f>E735+E751</f>
        <v>15554.800000000003</v>
      </c>
      <c r="F734" s="29"/>
    </row>
    <row r="735" spans="1:6" s="22" customFormat="1" ht="18.75" customHeight="1">
      <c r="A735" s="9" t="s">
        <v>366</v>
      </c>
      <c r="B735" s="1" t="s">
        <v>280</v>
      </c>
      <c r="C735" s="2" t="s">
        <v>464</v>
      </c>
      <c r="D735" s="2" t="s">
        <v>335</v>
      </c>
      <c r="E735" s="24">
        <f>E736+E741+E746</f>
        <v>6409.000000000001</v>
      </c>
      <c r="F735" s="27"/>
    </row>
    <row r="736" spans="1:6" s="22" customFormat="1" ht="21.75" customHeight="1">
      <c r="A736" s="34" t="s">
        <v>417</v>
      </c>
      <c r="B736" s="6" t="s">
        <v>280</v>
      </c>
      <c r="C736" s="32" t="s">
        <v>605</v>
      </c>
      <c r="D736" s="2" t="s">
        <v>335</v>
      </c>
      <c r="E736" s="30">
        <f>E738+E740</f>
        <v>338.6</v>
      </c>
      <c r="F736" s="29"/>
    </row>
    <row r="737" spans="1:6" s="22" customFormat="1" ht="67.5" customHeight="1">
      <c r="A737" s="21" t="s">
        <v>522</v>
      </c>
      <c r="B737" s="6" t="s">
        <v>280</v>
      </c>
      <c r="C737" s="32" t="s">
        <v>605</v>
      </c>
      <c r="D737" s="2" t="s">
        <v>514</v>
      </c>
      <c r="E737" s="30">
        <f>E738</f>
        <v>313.90000000000003</v>
      </c>
      <c r="F737" s="29"/>
    </row>
    <row r="738" spans="1:6" s="22" customFormat="1" ht="21" customHeight="1">
      <c r="A738" s="20" t="s">
        <v>507</v>
      </c>
      <c r="B738" s="1" t="s">
        <v>280</v>
      </c>
      <c r="C738" s="32" t="s">
        <v>605</v>
      </c>
      <c r="D738" s="2" t="s">
        <v>506</v>
      </c>
      <c r="E738" s="24">
        <f>1055.4-500-24.7-216.8</f>
        <v>313.90000000000003</v>
      </c>
      <c r="F738" s="27"/>
    </row>
    <row r="739" spans="1:6" s="22" customFormat="1" ht="21" customHeight="1">
      <c r="A739" s="80" t="s">
        <v>154</v>
      </c>
      <c r="B739" s="1" t="s">
        <v>280</v>
      </c>
      <c r="C739" s="32" t="s">
        <v>605</v>
      </c>
      <c r="D739" s="2" t="s">
        <v>547</v>
      </c>
      <c r="E739" s="30">
        <f>E740</f>
        <v>24.7</v>
      </c>
      <c r="F739" s="29"/>
    </row>
    <row r="740" spans="1:6" s="22" customFormat="1" ht="30.75" customHeight="1">
      <c r="A740" s="9" t="s">
        <v>282</v>
      </c>
      <c r="B740" s="1" t="s">
        <v>280</v>
      </c>
      <c r="C740" s="32" t="s">
        <v>605</v>
      </c>
      <c r="D740" s="2" t="s">
        <v>281</v>
      </c>
      <c r="E740" s="30">
        <f>24.7</f>
        <v>24.7</v>
      </c>
      <c r="F740" s="29"/>
    </row>
    <row r="741" spans="1:6" s="22" customFormat="1" ht="21.75" customHeight="1">
      <c r="A741" s="118" t="s">
        <v>418</v>
      </c>
      <c r="B741" s="1" t="s">
        <v>280</v>
      </c>
      <c r="C741" s="2" t="s">
        <v>607</v>
      </c>
      <c r="D741" s="2" t="s">
        <v>335</v>
      </c>
      <c r="E741" s="24">
        <f>E743+E744</f>
        <v>5540.200000000001</v>
      </c>
      <c r="F741" s="27"/>
    </row>
    <row r="742" spans="1:6" s="22" customFormat="1" ht="69" customHeight="1">
      <c r="A742" s="20" t="s">
        <v>522</v>
      </c>
      <c r="B742" s="1" t="s">
        <v>280</v>
      </c>
      <c r="C742" s="2" t="s">
        <v>607</v>
      </c>
      <c r="D742" s="2" t="s">
        <v>514</v>
      </c>
      <c r="E742" s="24">
        <f>E743</f>
        <v>5345.6</v>
      </c>
      <c r="F742" s="27"/>
    </row>
    <row r="743" spans="1:6" s="22" customFormat="1" ht="23.25" customHeight="1">
      <c r="A743" s="20" t="s">
        <v>507</v>
      </c>
      <c r="B743" s="1" t="s">
        <v>280</v>
      </c>
      <c r="C743" s="2" t="s">
        <v>607</v>
      </c>
      <c r="D743" s="2" t="s">
        <v>506</v>
      </c>
      <c r="E743" s="24">
        <f>7005.6-194.6-1423.5-41.9</f>
        <v>5345.6</v>
      </c>
      <c r="F743" s="27"/>
    </row>
    <row r="744" spans="1:6" s="22" customFormat="1" ht="23.25" customHeight="1">
      <c r="A744" s="80" t="s">
        <v>154</v>
      </c>
      <c r="B744" s="1" t="s">
        <v>280</v>
      </c>
      <c r="C744" s="2" t="s">
        <v>607</v>
      </c>
      <c r="D744" s="2" t="s">
        <v>547</v>
      </c>
      <c r="E744" s="30">
        <f>E745</f>
        <v>194.6</v>
      </c>
      <c r="F744" s="29"/>
    </row>
    <row r="745" spans="1:6" s="22" customFormat="1" ht="29.25" customHeight="1">
      <c r="A745" s="9" t="s">
        <v>282</v>
      </c>
      <c r="B745" s="1" t="s">
        <v>280</v>
      </c>
      <c r="C745" s="2" t="s">
        <v>607</v>
      </c>
      <c r="D745" s="2" t="s">
        <v>281</v>
      </c>
      <c r="E745" s="24">
        <f>194.6</f>
        <v>194.6</v>
      </c>
      <c r="F745" s="27"/>
    </row>
    <row r="746" spans="1:6" s="22" customFormat="1" ht="25.5">
      <c r="A746" s="34" t="s">
        <v>309</v>
      </c>
      <c r="B746" s="6" t="s">
        <v>280</v>
      </c>
      <c r="C746" s="2" t="s">
        <v>608</v>
      </c>
      <c r="D746" s="2" t="s">
        <v>335</v>
      </c>
      <c r="E746" s="30">
        <f>E747+E749</f>
        <v>530.2</v>
      </c>
      <c r="F746" s="29"/>
    </row>
    <row r="747" spans="1:6" s="22" customFormat="1" ht="18" customHeight="1">
      <c r="A747" s="34" t="s">
        <v>509</v>
      </c>
      <c r="B747" s="6" t="s">
        <v>280</v>
      </c>
      <c r="C747" s="2" t="s">
        <v>608</v>
      </c>
      <c r="D747" s="2" t="s">
        <v>508</v>
      </c>
      <c r="E747" s="30">
        <f>E748</f>
        <v>523</v>
      </c>
      <c r="F747" s="29"/>
    </row>
    <row r="748" spans="1:6" s="22" customFormat="1" ht="30" customHeight="1">
      <c r="A748" s="34" t="s">
        <v>511</v>
      </c>
      <c r="B748" s="6" t="s">
        <v>280</v>
      </c>
      <c r="C748" s="2" t="s">
        <v>608</v>
      </c>
      <c r="D748" s="2" t="s">
        <v>510</v>
      </c>
      <c r="E748" s="30">
        <f>525-2-2-0.2-12.8+15</f>
        <v>523</v>
      </c>
      <c r="F748" s="29"/>
    </row>
    <row r="749" spans="1:6" s="22" customFormat="1" ht="18" customHeight="1">
      <c r="A749" s="34" t="s">
        <v>513</v>
      </c>
      <c r="B749" s="6" t="s">
        <v>280</v>
      </c>
      <c r="C749" s="2" t="s">
        <v>608</v>
      </c>
      <c r="D749" s="2" t="s">
        <v>512</v>
      </c>
      <c r="E749" s="73">
        <f>E750</f>
        <v>7.2</v>
      </c>
      <c r="F749" s="29"/>
    </row>
    <row r="750" spans="1:6" s="22" customFormat="1" ht="17.25" customHeight="1">
      <c r="A750" s="118" t="s">
        <v>532</v>
      </c>
      <c r="B750" s="1" t="s">
        <v>280</v>
      </c>
      <c r="C750" s="2" t="s">
        <v>608</v>
      </c>
      <c r="D750" s="2" t="s">
        <v>531</v>
      </c>
      <c r="E750" s="73">
        <f>3+2+2+0.2</f>
        <v>7.2</v>
      </c>
      <c r="F750" s="27"/>
    </row>
    <row r="751" spans="1:6" s="22" customFormat="1" ht="54" customHeight="1">
      <c r="A751" s="9" t="s">
        <v>377</v>
      </c>
      <c r="B751" s="1" t="s">
        <v>280</v>
      </c>
      <c r="C751" s="2" t="s">
        <v>622</v>
      </c>
      <c r="D751" s="2" t="s">
        <v>335</v>
      </c>
      <c r="E751" s="24">
        <f>E752+E754+E756</f>
        <v>9145.800000000001</v>
      </c>
      <c r="F751" s="27"/>
    </row>
    <row r="752" spans="1:6" s="22" customFormat="1" ht="67.5" customHeight="1">
      <c r="A752" s="20" t="s">
        <v>522</v>
      </c>
      <c r="B752" s="1" t="s">
        <v>280</v>
      </c>
      <c r="C752" s="2" t="s">
        <v>622</v>
      </c>
      <c r="D752" s="2" t="s">
        <v>514</v>
      </c>
      <c r="E752" s="24">
        <f>E753</f>
        <v>8344.7</v>
      </c>
      <c r="F752" s="27"/>
    </row>
    <row r="753" spans="1:6" s="22" customFormat="1" ht="24" customHeight="1">
      <c r="A753" s="20" t="s">
        <v>530</v>
      </c>
      <c r="B753" s="1" t="s">
        <v>280</v>
      </c>
      <c r="C753" s="2" t="s">
        <v>622</v>
      </c>
      <c r="D753" s="2" t="s">
        <v>523</v>
      </c>
      <c r="E753" s="24">
        <f>8121.7+223</f>
        <v>8344.7</v>
      </c>
      <c r="F753" s="27"/>
    </row>
    <row r="754" spans="1:6" s="22" customFormat="1" ht="21.75" customHeight="1">
      <c r="A754" s="34" t="s">
        <v>509</v>
      </c>
      <c r="B754" s="6" t="s">
        <v>280</v>
      </c>
      <c r="C754" s="5" t="s">
        <v>622</v>
      </c>
      <c r="D754" s="5" t="s">
        <v>508</v>
      </c>
      <c r="E754" s="30">
        <f>E755</f>
        <v>799.9999999999999</v>
      </c>
      <c r="F754" s="29"/>
    </row>
    <row r="755" spans="1:6" s="22" customFormat="1" ht="30.75" customHeight="1">
      <c r="A755" s="34" t="s">
        <v>511</v>
      </c>
      <c r="B755" s="6" t="s">
        <v>280</v>
      </c>
      <c r="C755" s="5" t="s">
        <v>622</v>
      </c>
      <c r="D755" s="5" t="s">
        <v>510</v>
      </c>
      <c r="E755" s="30">
        <f>675.3+110+12.8+1.9</f>
        <v>799.9999999999999</v>
      </c>
      <c r="F755" s="29"/>
    </row>
    <row r="756" spans="1:6" s="22" customFormat="1" ht="20.25" customHeight="1">
      <c r="A756" s="34" t="s">
        <v>513</v>
      </c>
      <c r="B756" s="6" t="s">
        <v>280</v>
      </c>
      <c r="C756" s="5" t="s">
        <v>622</v>
      </c>
      <c r="D756" s="5" t="s">
        <v>512</v>
      </c>
      <c r="E756" s="30">
        <f>E757</f>
        <v>1.1</v>
      </c>
      <c r="F756" s="29"/>
    </row>
    <row r="757" spans="1:6" s="22" customFormat="1" ht="21" customHeight="1">
      <c r="A757" s="118" t="s">
        <v>532</v>
      </c>
      <c r="B757" s="1" t="s">
        <v>280</v>
      </c>
      <c r="C757" s="2" t="s">
        <v>622</v>
      </c>
      <c r="D757" s="2" t="s">
        <v>531</v>
      </c>
      <c r="E757" s="24">
        <f>3-1.9</f>
        <v>1.1</v>
      </c>
      <c r="F757" s="27"/>
    </row>
    <row r="758" spans="1:8" s="22" customFormat="1" ht="24" customHeight="1">
      <c r="A758" s="100" t="s">
        <v>320</v>
      </c>
      <c r="B758" s="101" t="s">
        <v>342</v>
      </c>
      <c r="C758" s="101" t="s">
        <v>358</v>
      </c>
      <c r="D758" s="101" t="s">
        <v>335</v>
      </c>
      <c r="E758" s="102">
        <f>E759</f>
        <v>38560</v>
      </c>
      <c r="F758" s="102">
        <f>F759</f>
        <v>35160</v>
      </c>
      <c r="H758" s="89"/>
    </row>
    <row r="759" spans="1:6" ht="17.25" customHeight="1">
      <c r="A759" s="60" t="s">
        <v>278</v>
      </c>
      <c r="B759" s="32" t="s">
        <v>321</v>
      </c>
      <c r="C759" s="32" t="s">
        <v>358</v>
      </c>
      <c r="D759" s="32" t="s">
        <v>335</v>
      </c>
      <c r="E759" s="40">
        <f>E760</f>
        <v>38560</v>
      </c>
      <c r="F759" s="40">
        <f>F760</f>
        <v>35160</v>
      </c>
    </row>
    <row r="760" spans="1:6" ht="57" customHeight="1">
      <c r="A760" s="121" t="s">
        <v>38</v>
      </c>
      <c r="B760" s="32" t="s">
        <v>321</v>
      </c>
      <c r="C760" s="92" t="s">
        <v>465</v>
      </c>
      <c r="D760" s="32" t="s">
        <v>335</v>
      </c>
      <c r="E760" s="40">
        <f>E761+E764</f>
        <v>38560</v>
      </c>
      <c r="F760" s="40">
        <f>F761+F764</f>
        <v>35160</v>
      </c>
    </row>
    <row r="761" spans="1:6" ht="43.5" customHeight="1">
      <c r="A761" s="33" t="s">
        <v>139</v>
      </c>
      <c r="B761" s="37" t="s">
        <v>321</v>
      </c>
      <c r="C761" s="92" t="s">
        <v>111</v>
      </c>
      <c r="D761" s="32" t="s">
        <v>335</v>
      </c>
      <c r="E761" s="38">
        <f>E762</f>
        <v>3400</v>
      </c>
      <c r="F761" s="38">
        <f>F762</f>
        <v>0</v>
      </c>
    </row>
    <row r="762" spans="1:6" ht="21.75" customHeight="1">
      <c r="A762" s="80" t="s">
        <v>154</v>
      </c>
      <c r="B762" s="37" t="s">
        <v>321</v>
      </c>
      <c r="C762" s="92" t="s">
        <v>111</v>
      </c>
      <c r="D762" s="32" t="s">
        <v>547</v>
      </c>
      <c r="E762" s="38">
        <f>E763</f>
        <v>3400</v>
      </c>
      <c r="F762" s="38"/>
    </row>
    <row r="763" spans="1:6" ht="28.5" customHeight="1">
      <c r="A763" s="9" t="s">
        <v>282</v>
      </c>
      <c r="B763" s="37" t="s">
        <v>321</v>
      </c>
      <c r="C763" s="92" t="s">
        <v>111</v>
      </c>
      <c r="D763" s="32" t="s">
        <v>281</v>
      </c>
      <c r="E763" s="38">
        <f>920+3400-470-450</f>
        <v>3400</v>
      </c>
      <c r="F763" s="38"/>
    </row>
    <row r="764" spans="1:6" ht="42.75" customHeight="1">
      <c r="A764" s="134" t="s">
        <v>144</v>
      </c>
      <c r="B764" s="32" t="s">
        <v>321</v>
      </c>
      <c r="C764" s="92" t="s">
        <v>143</v>
      </c>
      <c r="D764" s="32" t="s">
        <v>335</v>
      </c>
      <c r="E764" s="40">
        <f>E765</f>
        <v>35160</v>
      </c>
      <c r="F764" s="40">
        <f>F765</f>
        <v>35160</v>
      </c>
    </row>
    <row r="765" spans="1:6" ht="21.75" customHeight="1">
      <c r="A765" s="34" t="s">
        <v>509</v>
      </c>
      <c r="B765" s="37" t="s">
        <v>321</v>
      </c>
      <c r="C765" s="92" t="s">
        <v>143</v>
      </c>
      <c r="D765" s="32" t="s">
        <v>508</v>
      </c>
      <c r="E765" s="38">
        <f>E766</f>
        <v>35160</v>
      </c>
      <c r="F765" s="38">
        <f>F766</f>
        <v>35160</v>
      </c>
    </row>
    <row r="766" spans="1:6" ht="27.75" customHeight="1">
      <c r="A766" s="118" t="s">
        <v>511</v>
      </c>
      <c r="B766" s="37" t="s">
        <v>321</v>
      </c>
      <c r="C766" s="92" t="s">
        <v>143</v>
      </c>
      <c r="D766" s="32" t="s">
        <v>510</v>
      </c>
      <c r="E766" s="38">
        <v>35160</v>
      </c>
      <c r="F766" s="38">
        <v>35160</v>
      </c>
    </row>
    <row r="767" spans="1:8" ht="19.5" customHeight="1">
      <c r="A767" s="52" t="s">
        <v>352</v>
      </c>
      <c r="B767" s="53" t="s">
        <v>382</v>
      </c>
      <c r="C767" s="53" t="s">
        <v>358</v>
      </c>
      <c r="D767" s="53" t="s">
        <v>335</v>
      </c>
      <c r="E767" s="54">
        <f>E768+E774+E813</f>
        <v>241506.3</v>
      </c>
      <c r="F767" s="54">
        <f>F768+F774+F813</f>
        <v>226716.5</v>
      </c>
      <c r="H767" s="91"/>
    </row>
    <row r="768" spans="1:6" ht="15.75" customHeight="1">
      <c r="A768" s="18" t="s">
        <v>383</v>
      </c>
      <c r="B768" s="3">
        <v>1001</v>
      </c>
      <c r="C768" s="2" t="s">
        <v>358</v>
      </c>
      <c r="D768" s="1" t="s">
        <v>335</v>
      </c>
      <c r="E768" s="25">
        <f>E769</f>
        <v>10440</v>
      </c>
      <c r="F768" s="25"/>
    </row>
    <row r="769" spans="1:10" ht="30" customHeight="1">
      <c r="A769" s="82" t="s">
        <v>53</v>
      </c>
      <c r="B769" s="7">
        <v>1001</v>
      </c>
      <c r="C769" s="5" t="s">
        <v>515</v>
      </c>
      <c r="D769" s="6" t="s">
        <v>335</v>
      </c>
      <c r="E769" s="26">
        <f>E770</f>
        <v>10440</v>
      </c>
      <c r="F769" s="26"/>
      <c r="H769" s="108"/>
      <c r="I769" s="107"/>
      <c r="J769" s="108"/>
    </row>
    <row r="770" spans="1:10" ht="42.75" customHeight="1">
      <c r="A770" s="33" t="s">
        <v>94</v>
      </c>
      <c r="B770" s="7">
        <v>1001</v>
      </c>
      <c r="C770" s="5" t="s">
        <v>436</v>
      </c>
      <c r="D770" s="6" t="s">
        <v>335</v>
      </c>
      <c r="E770" s="26">
        <f>E772</f>
        <v>10440</v>
      </c>
      <c r="F770" s="26"/>
      <c r="H770" s="108"/>
      <c r="I770" s="107"/>
      <c r="J770" s="108"/>
    </row>
    <row r="771" spans="1:10" ht="27.75" customHeight="1">
      <c r="A771" s="8" t="s">
        <v>403</v>
      </c>
      <c r="B771" s="7">
        <v>1001</v>
      </c>
      <c r="C771" s="5" t="s">
        <v>95</v>
      </c>
      <c r="D771" s="6" t="s">
        <v>335</v>
      </c>
      <c r="E771" s="26">
        <f>E772</f>
        <v>10440</v>
      </c>
      <c r="F771" s="26"/>
      <c r="H771" s="108"/>
      <c r="I771" s="107"/>
      <c r="J771" s="108"/>
    </row>
    <row r="772" spans="1:6" ht="19.5" customHeight="1">
      <c r="A772" s="9" t="s">
        <v>549</v>
      </c>
      <c r="B772" s="3">
        <v>1001</v>
      </c>
      <c r="C772" s="2" t="s">
        <v>95</v>
      </c>
      <c r="D772" s="1" t="s">
        <v>547</v>
      </c>
      <c r="E772" s="25">
        <f>E773</f>
        <v>10440</v>
      </c>
      <c r="F772" s="25"/>
    </row>
    <row r="773" spans="1:6" ht="24" customHeight="1">
      <c r="A773" s="8" t="s">
        <v>556</v>
      </c>
      <c r="B773" s="7">
        <v>1001</v>
      </c>
      <c r="C773" s="5" t="s">
        <v>95</v>
      </c>
      <c r="D773" s="6" t="s">
        <v>555</v>
      </c>
      <c r="E773" s="26">
        <f>10440</f>
        <v>10440</v>
      </c>
      <c r="F773" s="26"/>
    </row>
    <row r="774" spans="1:6" ht="18" customHeight="1">
      <c r="A774" s="18" t="s">
        <v>385</v>
      </c>
      <c r="B774" s="2" t="s">
        <v>386</v>
      </c>
      <c r="C774" s="2" t="s">
        <v>358</v>
      </c>
      <c r="D774" s="2" t="s">
        <v>335</v>
      </c>
      <c r="E774" s="27">
        <f>E775+E784+E787+E810</f>
        <v>119594.3</v>
      </c>
      <c r="F774" s="27">
        <f>F775+F784+F787</f>
        <v>115244.5</v>
      </c>
    </row>
    <row r="775" spans="1:6" ht="78" customHeight="1">
      <c r="A775" s="121" t="s">
        <v>76</v>
      </c>
      <c r="B775" s="2" t="s">
        <v>386</v>
      </c>
      <c r="C775" s="2" t="s">
        <v>191</v>
      </c>
      <c r="D775" s="2" t="s">
        <v>335</v>
      </c>
      <c r="E775" s="27">
        <f>E782+E776+E779</f>
        <v>6550.599999999999</v>
      </c>
      <c r="F775" s="27">
        <f>F782+F776+F779</f>
        <v>4517.2</v>
      </c>
    </row>
    <row r="776" spans="1:6" ht="52.5" customHeight="1">
      <c r="A776" s="33" t="s">
        <v>192</v>
      </c>
      <c r="B776" s="2" t="s">
        <v>386</v>
      </c>
      <c r="C776" s="2" t="s">
        <v>193</v>
      </c>
      <c r="D776" s="2" t="s">
        <v>335</v>
      </c>
      <c r="E776" s="27">
        <f>E777</f>
        <v>3162</v>
      </c>
      <c r="F776" s="27">
        <f>F777</f>
        <v>3162</v>
      </c>
    </row>
    <row r="777" spans="1:6" ht="24" customHeight="1">
      <c r="A777" s="8" t="s">
        <v>549</v>
      </c>
      <c r="B777" s="2" t="s">
        <v>386</v>
      </c>
      <c r="C777" s="2" t="s">
        <v>193</v>
      </c>
      <c r="D777" s="2" t="s">
        <v>547</v>
      </c>
      <c r="E777" s="27">
        <f>E778</f>
        <v>3162</v>
      </c>
      <c r="F777" s="27">
        <f>F778</f>
        <v>3162</v>
      </c>
    </row>
    <row r="778" spans="1:6" ht="30" customHeight="1">
      <c r="A778" s="9" t="s">
        <v>282</v>
      </c>
      <c r="B778" s="2" t="s">
        <v>386</v>
      </c>
      <c r="C778" s="2" t="s">
        <v>193</v>
      </c>
      <c r="D778" s="2" t="s">
        <v>281</v>
      </c>
      <c r="E778" s="27">
        <f>3162</f>
        <v>3162</v>
      </c>
      <c r="F778" s="27">
        <v>3162</v>
      </c>
    </row>
    <row r="779" spans="1:6" ht="53.25" customHeight="1">
      <c r="A779" s="33" t="s">
        <v>194</v>
      </c>
      <c r="B779" s="2" t="s">
        <v>386</v>
      </c>
      <c r="C779" s="2" t="s">
        <v>195</v>
      </c>
      <c r="D779" s="2" t="s">
        <v>335</v>
      </c>
      <c r="E779" s="27">
        <f>E780</f>
        <v>1355.2</v>
      </c>
      <c r="F779" s="27">
        <f>F780</f>
        <v>1355.2</v>
      </c>
    </row>
    <row r="780" spans="1:6" ht="23.25" customHeight="1">
      <c r="A780" s="9" t="s">
        <v>549</v>
      </c>
      <c r="B780" s="2" t="s">
        <v>386</v>
      </c>
      <c r="C780" s="2" t="s">
        <v>195</v>
      </c>
      <c r="D780" s="2" t="s">
        <v>547</v>
      </c>
      <c r="E780" s="27">
        <f>E781</f>
        <v>1355.2</v>
      </c>
      <c r="F780" s="27">
        <f>F781</f>
        <v>1355.2</v>
      </c>
    </row>
    <row r="781" spans="1:6" ht="30" customHeight="1">
      <c r="A781" s="9" t="s">
        <v>282</v>
      </c>
      <c r="B781" s="2" t="s">
        <v>386</v>
      </c>
      <c r="C781" s="2" t="s">
        <v>195</v>
      </c>
      <c r="D781" s="2" t="s">
        <v>281</v>
      </c>
      <c r="E781" s="27">
        <v>1355.2</v>
      </c>
      <c r="F781" s="27">
        <v>1355.2</v>
      </c>
    </row>
    <row r="782" spans="1:6" ht="18.75" customHeight="1">
      <c r="A782" s="8" t="s">
        <v>549</v>
      </c>
      <c r="B782" s="2" t="s">
        <v>386</v>
      </c>
      <c r="C782" s="2" t="s">
        <v>577</v>
      </c>
      <c r="D782" s="2" t="s">
        <v>547</v>
      </c>
      <c r="E782" s="27">
        <f>E783</f>
        <v>2033.4</v>
      </c>
      <c r="F782" s="27"/>
    </row>
    <row r="783" spans="1:6" ht="29.25" customHeight="1">
      <c r="A783" s="9" t="s">
        <v>282</v>
      </c>
      <c r="B783" s="2" t="s">
        <v>386</v>
      </c>
      <c r="C783" s="2" t="s">
        <v>577</v>
      </c>
      <c r="D783" s="2" t="s">
        <v>281</v>
      </c>
      <c r="E783" s="27">
        <f>4034.8-2001.4</f>
        <v>2033.4</v>
      </c>
      <c r="F783" s="27"/>
    </row>
    <row r="784" spans="1:6" ht="53.25" customHeight="1">
      <c r="A784" s="8" t="s">
        <v>37</v>
      </c>
      <c r="B784" s="2" t="s">
        <v>386</v>
      </c>
      <c r="C784" s="76" t="s">
        <v>433</v>
      </c>
      <c r="D784" s="2" t="s">
        <v>335</v>
      </c>
      <c r="E784" s="27">
        <f>E786</f>
        <v>88684</v>
      </c>
      <c r="F784" s="27">
        <f>F786</f>
        <v>88684</v>
      </c>
    </row>
    <row r="785" spans="1:6" ht="22.5" customHeight="1">
      <c r="A785" s="9" t="s">
        <v>549</v>
      </c>
      <c r="B785" s="2" t="s">
        <v>386</v>
      </c>
      <c r="C785" s="2" t="s">
        <v>433</v>
      </c>
      <c r="D785" s="2" t="s">
        <v>547</v>
      </c>
      <c r="E785" s="27">
        <f>E786</f>
        <v>88684</v>
      </c>
      <c r="F785" s="27">
        <f>F786</f>
        <v>88684</v>
      </c>
    </row>
    <row r="786" spans="1:6" ht="30.75" customHeight="1">
      <c r="A786" s="8" t="s">
        <v>282</v>
      </c>
      <c r="B786" s="2" t="s">
        <v>386</v>
      </c>
      <c r="C786" s="2" t="s">
        <v>433</v>
      </c>
      <c r="D786" s="2" t="s">
        <v>281</v>
      </c>
      <c r="E786" s="27">
        <f>81371+7313</f>
        <v>88684</v>
      </c>
      <c r="F786" s="27">
        <f>E786</f>
        <v>88684</v>
      </c>
    </row>
    <row r="787" spans="1:6" ht="33.75" customHeight="1">
      <c r="A787" s="33" t="s">
        <v>66</v>
      </c>
      <c r="B787" s="2" t="s">
        <v>386</v>
      </c>
      <c r="C787" s="2" t="s">
        <v>466</v>
      </c>
      <c r="D787" s="2" t="s">
        <v>335</v>
      </c>
      <c r="E787" s="27">
        <f>E797+E803+E788</f>
        <v>23359.699999999997</v>
      </c>
      <c r="F787" s="27">
        <f>F797+F803+F788</f>
        <v>22043.3</v>
      </c>
    </row>
    <row r="788" spans="1:6" ht="29.25" customHeight="1">
      <c r="A788" s="8" t="s">
        <v>232</v>
      </c>
      <c r="B788" s="2" t="s">
        <v>386</v>
      </c>
      <c r="C788" s="2" t="s">
        <v>467</v>
      </c>
      <c r="D788" s="2" t="s">
        <v>335</v>
      </c>
      <c r="E788" s="27">
        <f>E795+E789+E792</f>
        <v>3228.5</v>
      </c>
      <c r="F788" s="27">
        <f>F795+F789+F792</f>
        <v>2012</v>
      </c>
    </row>
    <row r="789" spans="1:6" ht="54" customHeight="1">
      <c r="A789" s="8" t="s">
        <v>479</v>
      </c>
      <c r="B789" s="2" t="s">
        <v>386</v>
      </c>
      <c r="C789" s="2" t="s">
        <v>478</v>
      </c>
      <c r="D789" s="2" t="s">
        <v>335</v>
      </c>
      <c r="E789" s="27">
        <f>E790</f>
        <v>795</v>
      </c>
      <c r="F789" s="27">
        <f>F790</f>
        <v>795</v>
      </c>
    </row>
    <row r="790" spans="1:6" ht="20.25" customHeight="1">
      <c r="A790" s="9" t="s">
        <v>549</v>
      </c>
      <c r="B790" s="2" t="s">
        <v>386</v>
      </c>
      <c r="C790" s="2" t="s">
        <v>478</v>
      </c>
      <c r="D790" s="2" t="s">
        <v>547</v>
      </c>
      <c r="E790" s="27">
        <f>E791</f>
        <v>795</v>
      </c>
      <c r="F790" s="27">
        <f>F791</f>
        <v>795</v>
      </c>
    </row>
    <row r="791" spans="1:6" ht="29.25" customHeight="1">
      <c r="A791" s="8" t="s">
        <v>282</v>
      </c>
      <c r="B791" s="2" t="s">
        <v>386</v>
      </c>
      <c r="C791" s="2" t="s">
        <v>478</v>
      </c>
      <c r="D791" s="2" t="s">
        <v>281</v>
      </c>
      <c r="E791" s="27">
        <f>795</f>
        <v>795</v>
      </c>
      <c r="F791" s="27">
        <f>E791</f>
        <v>795</v>
      </c>
    </row>
    <row r="792" spans="1:6" ht="51.75" customHeight="1">
      <c r="A792" s="8" t="s">
        <v>481</v>
      </c>
      <c r="B792" s="2" t="s">
        <v>386</v>
      </c>
      <c r="C792" s="2" t="s">
        <v>480</v>
      </c>
      <c r="D792" s="2" t="s">
        <v>335</v>
      </c>
      <c r="E792" s="27">
        <f>E793</f>
        <v>1217</v>
      </c>
      <c r="F792" s="27">
        <f>F793</f>
        <v>1217</v>
      </c>
    </row>
    <row r="793" spans="1:6" ht="20.25" customHeight="1">
      <c r="A793" s="9" t="s">
        <v>549</v>
      </c>
      <c r="B793" s="2" t="s">
        <v>386</v>
      </c>
      <c r="C793" s="2" t="s">
        <v>480</v>
      </c>
      <c r="D793" s="2" t="s">
        <v>547</v>
      </c>
      <c r="E793" s="27">
        <f>E794</f>
        <v>1217</v>
      </c>
      <c r="F793" s="27">
        <f>F794</f>
        <v>1217</v>
      </c>
    </row>
    <row r="794" spans="1:6" ht="29.25" customHeight="1">
      <c r="A794" s="8" t="s">
        <v>282</v>
      </c>
      <c r="B794" s="2" t="s">
        <v>386</v>
      </c>
      <c r="C794" s="2" t="s">
        <v>480</v>
      </c>
      <c r="D794" s="2" t="s">
        <v>281</v>
      </c>
      <c r="E794" s="27">
        <v>1217</v>
      </c>
      <c r="F794" s="27">
        <f>E794</f>
        <v>1217</v>
      </c>
    </row>
    <row r="795" spans="1:6" ht="24" customHeight="1">
      <c r="A795" s="9" t="s">
        <v>549</v>
      </c>
      <c r="B795" s="2" t="s">
        <v>386</v>
      </c>
      <c r="C795" s="2" t="s">
        <v>230</v>
      </c>
      <c r="D795" s="2" t="s">
        <v>547</v>
      </c>
      <c r="E795" s="27">
        <f>E796</f>
        <v>1216.5</v>
      </c>
      <c r="F795" s="27"/>
    </row>
    <row r="796" spans="1:6" ht="29.25" customHeight="1">
      <c r="A796" s="8" t="s">
        <v>282</v>
      </c>
      <c r="B796" s="2" t="s">
        <v>386</v>
      </c>
      <c r="C796" s="2" t="s">
        <v>230</v>
      </c>
      <c r="D796" s="2" t="s">
        <v>281</v>
      </c>
      <c r="E796" s="27">
        <f>1000+216.5</f>
        <v>1216.5</v>
      </c>
      <c r="F796" s="27"/>
    </row>
    <row r="797" spans="1:6" ht="28.5" customHeight="1">
      <c r="A797" s="33" t="s">
        <v>71</v>
      </c>
      <c r="B797" s="2" t="s">
        <v>386</v>
      </c>
      <c r="C797" s="2" t="s">
        <v>468</v>
      </c>
      <c r="D797" s="2" t="s">
        <v>335</v>
      </c>
      <c r="E797" s="27">
        <f>E801+E798</f>
        <v>9987.9</v>
      </c>
      <c r="F797" s="27">
        <f>F801+F798</f>
        <v>9888</v>
      </c>
    </row>
    <row r="798" spans="1:6" ht="52.5" customHeight="1">
      <c r="A798" s="33" t="s">
        <v>273</v>
      </c>
      <c r="B798" s="2" t="s">
        <v>386</v>
      </c>
      <c r="C798" s="2" t="s">
        <v>212</v>
      </c>
      <c r="D798" s="2" t="s">
        <v>335</v>
      </c>
      <c r="E798" s="27">
        <f>E799</f>
        <v>9888</v>
      </c>
      <c r="F798" s="27">
        <f>F799</f>
        <v>9888</v>
      </c>
    </row>
    <row r="799" spans="1:6" ht="21" customHeight="1">
      <c r="A799" s="9" t="s">
        <v>549</v>
      </c>
      <c r="B799" s="2" t="s">
        <v>386</v>
      </c>
      <c r="C799" s="2" t="s">
        <v>212</v>
      </c>
      <c r="D799" s="2" t="s">
        <v>547</v>
      </c>
      <c r="E799" s="27">
        <f>E800</f>
        <v>9888</v>
      </c>
      <c r="F799" s="27">
        <f>F800</f>
        <v>9888</v>
      </c>
    </row>
    <row r="800" spans="1:6" ht="28.5" customHeight="1">
      <c r="A800" s="8" t="s">
        <v>282</v>
      </c>
      <c r="B800" s="2" t="s">
        <v>386</v>
      </c>
      <c r="C800" s="2" t="s">
        <v>212</v>
      </c>
      <c r="D800" s="2" t="s">
        <v>281</v>
      </c>
      <c r="E800" s="27">
        <f>9888</f>
        <v>9888</v>
      </c>
      <c r="F800" s="27">
        <f>E800</f>
        <v>9888</v>
      </c>
    </row>
    <row r="801" spans="1:6" ht="21.75" customHeight="1">
      <c r="A801" s="9" t="s">
        <v>549</v>
      </c>
      <c r="B801" s="2" t="s">
        <v>386</v>
      </c>
      <c r="C801" s="2" t="s">
        <v>113</v>
      </c>
      <c r="D801" s="2" t="s">
        <v>547</v>
      </c>
      <c r="E801" s="27">
        <f>E802</f>
        <v>99.9</v>
      </c>
      <c r="F801" s="27"/>
    </row>
    <row r="802" spans="1:6" ht="28.5" customHeight="1">
      <c r="A802" s="8" t="s">
        <v>282</v>
      </c>
      <c r="B802" s="2" t="s">
        <v>386</v>
      </c>
      <c r="C802" s="2" t="s">
        <v>113</v>
      </c>
      <c r="D802" s="2" t="s">
        <v>281</v>
      </c>
      <c r="E802" s="27">
        <f>89+10.9</f>
        <v>99.9</v>
      </c>
      <c r="F802" s="27"/>
    </row>
    <row r="803" spans="1:6" ht="29.25" customHeight="1">
      <c r="A803" s="9" t="s">
        <v>67</v>
      </c>
      <c r="B803" s="2" t="s">
        <v>386</v>
      </c>
      <c r="C803" s="2" t="s">
        <v>469</v>
      </c>
      <c r="D803" s="2" t="s">
        <v>335</v>
      </c>
      <c r="E803" s="27">
        <f>E804+E807</f>
        <v>10143.3</v>
      </c>
      <c r="F803" s="27">
        <f>F804+F807</f>
        <v>10143.3</v>
      </c>
    </row>
    <row r="804" spans="1:6" ht="94.5" customHeight="1">
      <c r="A804" s="99" t="s">
        <v>12</v>
      </c>
      <c r="B804" s="2" t="s">
        <v>386</v>
      </c>
      <c r="C804" s="76" t="s">
        <v>114</v>
      </c>
      <c r="D804" s="2" t="s">
        <v>335</v>
      </c>
      <c r="E804" s="27">
        <f>E805</f>
        <v>4610.3</v>
      </c>
      <c r="F804" s="27">
        <f>F805</f>
        <v>4610.3</v>
      </c>
    </row>
    <row r="805" spans="1:6" ht="24" customHeight="1">
      <c r="A805" s="9" t="s">
        <v>549</v>
      </c>
      <c r="B805" s="2" t="s">
        <v>386</v>
      </c>
      <c r="C805" s="2" t="s">
        <v>114</v>
      </c>
      <c r="D805" s="2" t="s">
        <v>547</v>
      </c>
      <c r="E805" s="27">
        <f>E806</f>
        <v>4610.3</v>
      </c>
      <c r="F805" s="27">
        <f>F806</f>
        <v>4610.3</v>
      </c>
    </row>
    <row r="806" spans="1:6" ht="21.75" customHeight="1">
      <c r="A806" s="9" t="s">
        <v>14</v>
      </c>
      <c r="B806" s="2" t="s">
        <v>386</v>
      </c>
      <c r="C806" s="2" t="s">
        <v>114</v>
      </c>
      <c r="D806" s="2" t="s">
        <v>13</v>
      </c>
      <c r="E806" s="27">
        <f>920.3+2.7+3687.3</f>
        <v>4610.3</v>
      </c>
      <c r="F806" s="27">
        <f>E806</f>
        <v>4610.3</v>
      </c>
    </row>
    <row r="807" spans="1:6" ht="96" customHeight="1">
      <c r="A807" s="125" t="s">
        <v>145</v>
      </c>
      <c r="B807" s="2" t="s">
        <v>386</v>
      </c>
      <c r="C807" s="2" t="s">
        <v>146</v>
      </c>
      <c r="D807" s="2" t="s">
        <v>335</v>
      </c>
      <c r="E807" s="27">
        <f>E808</f>
        <v>5533</v>
      </c>
      <c r="F807" s="27">
        <f>F809</f>
        <v>5533</v>
      </c>
    </row>
    <row r="808" spans="1:6" ht="21.75" customHeight="1">
      <c r="A808" s="9" t="s">
        <v>549</v>
      </c>
      <c r="B808" s="2" t="s">
        <v>386</v>
      </c>
      <c r="C808" s="2" t="s">
        <v>146</v>
      </c>
      <c r="D808" s="2" t="s">
        <v>547</v>
      </c>
      <c r="E808" s="27">
        <f>E809</f>
        <v>5533</v>
      </c>
      <c r="F808" s="27">
        <f>F809</f>
        <v>5533</v>
      </c>
    </row>
    <row r="809" spans="1:6" ht="21.75" customHeight="1">
      <c r="A809" s="9" t="s">
        <v>14</v>
      </c>
      <c r="B809" s="2" t="s">
        <v>386</v>
      </c>
      <c r="C809" s="2" t="s">
        <v>146</v>
      </c>
      <c r="D809" s="2" t="s">
        <v>13</v>
      </c>
      <c r="E809" s="27">
        <f>1845+3688+3688-3688</f>
        <v>5533</v>
      </c>
      <c r="F809" s="27">
        <f>E809</f>
        <v>5533</v>
      </c>
    </row>
    <row r="810" spans="1:6" ht="30" customHeight="1">
      <c r="A810" s="114" t="s">
        <v>125</v>
      </c>
      <c r="B810" s="2" t="s">
        <v>386</v>
      </c>
      <c r="C810" s="5" t="s">
        <v>293</v>
      </c>
      <c r="D810" s="2" t="s">
        <v>335</v>
      </c>
      <c r="E810" s="27">
        <f>E811</f>
        <v>1000</v>
      </c>
      <c r="F810" s="27"/>
    </row>
    <row r="811" spans="1:6" ht="27" customHeight="1">
      <c r="A811" s="35" t="s">
        <v>536</v>
      </c>
      <c r="B811" s="2" t="s">
        <v>386</v>
      </c>
      <c r="C811" s="5" t="s">
        <v>126</v>
      </c>
      <c r="D811" s="2" t="s">
        <v>535</v>
      </c>
      <c r="E811" s="27">
        <f>E812</f>
        <v>1000</v>
      </c>
      <c r="F811" s="27"/>
    </row>
    <row r="812" spans="1:6" ht="27.75" customHeight="1">
      <c r="A812" s="122" t="s">
        <v>275</v>
      </c>
      <c r="B812" s="2" t="s">
        <v>386</v>
      </c>
      <c r="C812" s="2" t="s">
        <v>126</v>
      </c>
      <c r="D812" s="2" t="s">
        <v>325</v>
      </c>
      <c r="E812" s="27">
        <f>500+500</f>
        <v>1000</v>
      </c>
      <c r="F812" s="27"/>
    </row>
    <row r="813" spans="1:6" ht="21.75" customHeight="1">
      <c r="A813" s="16" t="s">
        <v>289</v>
      </c>
      <c r="B813" s="2" t="s">
        <v>384</v>
      </c>
      <c r="C813" s="2" t="s">
        <v>358</v>
      </c>
      <c r="D813" s="2" t="s">
        <v>335</v>
      </c>
      <c r="E813" s="27">
        <f>E814+E818</f>
        <v>111472</v>
      </c>
      <c r="F813" s="27">
        <f>F814+F820</f>
        <v>111472</v>
      </c>
    </row>
    <row r="814" spans="1:6" ht="21.75" customHeight="1">
      <c r="A814" s="119" t="s">
        <v>486</v>
      </c>
      <c r="B814" s="2" t="s">
        <v>384</v>
      </c>
      <c r="C814" s="2" t="s">
        <v>485</v>
      </c>
      <c r="D814" s="2" t="s">
        <v>335</v>
      </c>
      <c r="E814" s="27">
        <f aca="true" t="shared" si="2" ref="E814:F816">E815</f>
        <v>63472</v>
      </c>
      <c r="F814" s="27">
        <f t="shared" si="2"/>
        <v>63472</v>
      </c>
    </row>
    <row r="815" spans="1:6" ht="66" customHeight="1">
      <c r="A815" s="9" t="s">
        <v>483</v>
      </c>
      <c r="B815" s="2" t="s">
        <v>384</v>
      </c>
      <c r="C815" s="76" t="s">
        <v>484</v>
      </c>
      <c r="D815" s="2" t="s">
        <v>335</v>
      </c>
      <c r="E815" s="27">
        <f t="shared" si="2"/>
        <v>63472</v>
      </c>
      <c r="F815" s="27">
        <f t="shared" si="2"/>
        <v>63472</v>
      </c>
    </row>
    <row r="816" spans="1:6" ht="21.75" customHeight="1">
      <c r="A816" s="9" t="s">
        <v>549</v>
      </c>
      <c r="B816" s="2" t="s">
        <v>384</v>
      </c>
      <c r="C816" s="2" t="s">
        <v>484</v>
      </c>
      <c r="D816" s="2" t="s">
        <v>547</v>
      </c>
      <c r="E816" s="27">
        <f t="shared" si="2"/>
        <v>63472</v>
      </c>
      <c r="F816" s="27">
        <f t="shared" si="2"/>
        <v>63472</v>
      </c>
    </row>
    <row r="817" spans="1:6" ht="30" customHeight="1">
      <c r="A817" s="8" t="s">
        <v>282</v>
      </c>
      <c r="B817" s="2" t="s">
        <v>384</v>
      </c>
      <c r="C817" s="2" t="s">
        <v>484</v>
      </c>
      <c r="D817" s="2" t="s">
        <v>281</v>
      </c>
      <c r="E817" s="27">
        <f>69694-2882-5955-119-720+3454</f>
        <v>63472</v>
      </c>
      <c r="F817" s="27">
        <f>E817</f>
        <v>63472</v>
      </c>
    </row>
    <row r="818" spans="1:6" ht="30" customHeight="1">
      <c r="A818" s="121" t="s">
        <v>66</v>
      </c>
      <c r="B818" s="2" t="s">
        <v>384</v>
      </c>
      <c r="C818" s="2" t="s">
        <v>466</v>
      </c>
      <c r="D818" s="2" t="s">
        <v>335</v>
      </c>
      <c r="E818" s="27">
        <f>E819</f>
        <v>48000</v>
      </c>
      <c r="F818" s="27">
        <f>F819</f>
        <v>48000</v>
      </c>
    </row>
    <row r="819" spans="1:6" ht="41.25" customHeight="1">
      <c r="A819" s="121" t="s">
        <v>69</v>
      </c>
      <c r="B819" s="2" t="s">
        <v>384</v>
      </c>
      <c r="C819" s="2" t="s">
        <v>470</v>
      </c>
      <c r="D819" s="2" t="s">
        <v>335</v>
      </c>
      <c r="E819" s="27">
        <f>E820+E823</f>
        <v>48000</v>
      </c>
      <c r="F819" s="27">
        <f>F820+F823</f>
        <v>48000</v>
      </c>
    </row>
    <row r="820" spans="1:6" ht="52.5" customHeight="1">
      <c r="A820" s="8" t="s">
        <v>498</v>
      </c>
      <c r="B820" s="2" t="s">
        <v>384</v>
      </c>
      <c r="C820" s="2" t="s">
        <v>187</v>
      </c>
      <c r="D820" s="2" t="s">
        <v>335</v>
      </c>
      <c r="E820" s="27">
        <f>E821</f>
        <v>48000</v>
      </c>
      <c r="F820" s="27">
        <f>F821</f>
        <v>48000</v>
      </c>
    </row>
    <row r="821" spans="1:6" ht="30" customHeight="1">
      <c r="A821" s="41" t="s">
        <v>551</v>
      </c>
      <c r="B821" s="2" t="s">
        <v>384</v>
      </c>
      <c r="C821" s="2" t="s">
        <v>187</v>
      </c>
      <c r="D821" s="2" t="s">
        <v>550</v>
      </c>
      <c r="E821" s="27">
        <f>E822</f>
        <v>48000</v>
      </c>
      <c r="F821" s="27">
        <f>F822</f>
        <v>48000</v>
      </c>
    </row>
    <row r="822" spans="1:6" ht="18" customHeight="1">
      <c r="A822" s="8" t="s">
        <v>552</v>
      </c>
      <c r="B822" s="2" t="s">
        <v>384</v>
      </c>
      <c r="C822" s="2" t="s">
        <v>187</v>
      </c>
      <c r="D822" s="2" t="s">
        <v>557</v>
      </c>
      <c r="E822" s="27">
        <f>41916+6288-204</f>
        <v>48000</v>
      </c>
      <c r="F822" s="27">
        <f>E822</f>
        <v>48000</v>
      </c>
    </row>
    <row r="823" spans="1:6" ht="65.25" customHeight="1">
      <c r="A823" s="8" t="s">
        <v>112</v>
      </c>
      <c r="B823" s="2" t="s">
        <v>384</v>
      </c>
      <c r="C823" s="5" t="s">
        <v>182</v>
      </c>
      <c r="D823" s="2" t="s">
        <v>335</v>
      </c>
      <c r="E823" s="27">
        <f>E824</f>
        <v>0</v>
      </c>
      <c r="F823" s="27"/>
    </row>
    <row r="824" spans="1:6" ht="31.5" customHeight="1">
      <c r="A824" s="41" t="s">
        <v>551</v>
      </c>
      <c r="B824" s="2" t="s">
        <v>384</v>
      </c>
      <c r="C824" s="5" t="s">
        <v>182</v>
      </c>
      <c r="D824" s="2" t="s">
        <v>550</v>
      </c>
      <c r="E824" s="27">
        <f>E825</f>
        <v>0</v>
      </c>
      <c r="F824" s="27"/>
    </row>
    <row r="825" spans="1:6" ht="18" customHeight="1">
      <c r="A825" s="8" t="s">
        <v>552</v>
      </c>
      <c r="B825" s="2" t="s">
        <v>384</v>
      </c>
      <c r="C825" s="5" t="s">
        <v>182</v>
      </c>
      <c r="D825" s="2" t="s">
        <v>557</v>
      </c>
      <c r="E825" s="27">
        <f>646+431-216.5-455.6-404.9</f>
        <v>0</v>
      </c>
      <c r="F825" s="27"/>
    </row>
    <row r="826" spans="1:6" s="57" customFormat="1" ht="22.5" customHeight="1">
      <c r="A826" s="49" t="s">
        <v>292</v>
      </c>
      <c r="B826" s="58" t="s">
        <v>324</v>
      </c>
      <c r="C826" s="58" t="s">
        <v>358</v>
      </c>
      <c r="D826" s="58" t="s">
        <v>335</v>
      </c>
      <c r="E826" s="55">
        <f>E827+E863+E881</f>
        <v>299672.29999999993</v>
      </c>
      <c r="F826" s="55">
        <f>F827+F863+F881</f>
        <v>241946.8</v>
      </c>
    </row>
    <row r="827" spans="1:6" ht="18.75" customHeight="1">
      <c r="A827" s="132" t="s">
        <v>310</v>
      </c>
      <c r="B827" s="76" t="s">
        <v>311</v>
      </c>
      <c r="C827" s="76" t="s">
        <v>358</v>
      </c>
      <c r="D827" s="77" t="s">
        <v>335</v>
      </c>
      <c r="E827" s="28">
        <f>E828+E860+E857</f>
        <v>265920.19999999995</v>
      </c>
      <c r="F827" s="28">
        <f>F828+F860+F857</f>
        <v>216026.8</v>
      </c>
    </row>
    <row r="828" spans="1:6" ht="52.5" customHeight="1">
      <c r="A828" s="41" t="s">
        <v>57</v>
      </c>
      <c r="B828" s="2" t="s">
        <v>311</v>
      </c>
      <c r="C828" s="5" t="s">
        <v>455</v>
      </c>
      <c r="D828" s="5" t="s">
        <v>335</v>
      </c>
      <c r="E828" s="24">
        <f>E829+E836+E844+E840</f>
        <v>265350.19999999995</v>
      </c>
      <c r="F828" s="24">
        <f>F829+F836+F844+F840</f>
        <v>216026.8</v>
      </c>
    </row>
    <row r="829" spans="1:6" ht="28.5" customHeight="1">
      <c r="A829" s="121" t="s">
        <v>542</v>
      </c>
      <c r="B829" s="2" t="s">
        <v>311</v>
      </c>
      <c r="C829" s="2" t="s">
        <v>471</v>
      </c>
      <c r="D829" s="2" t="s">
        <v>335</v>
      </c>
      <c r="E829" s="24">
        <f>E834+E830</f>
        <v>3578</v>
      </c>
      <c r="F829" s="27"/>
    </row>
    <row r="830" spans="1:6" ht="23.25" customHeight="1">
      <c r="A830" s="121" t="s">
        <v>501</v>
      </c>
      <c r="B830" s="2" t="s">
        <v>311</v>
      </c>
      <c r="C830" s="5" t="s">
        <v>307</v>
      </c>
      <c r="D830" s="5" t="s">
        <v>335</v>
      </c>
      <c r="E830" s="24">
        <f>E831</f>
        <v>150</v>
      </c>
      <c r="F830" s="27"/>
    </row>
    <row r="831" spans="1:6" ht="30.75" customHeight="1">
      <c r="A831" s="35" t="s">
        <v>536</v>
      </c>
      <c r="B831" s="2" t="s">
        <v>311</v>
      </c>
      <c r="C831" s="5" t="s">
        <v>307</v>
      </c>
      <c r="D831" s="5" t="s">
        <v>535</v>
      </c>
      <c r="E831" s="24">
        <f>E832</f>
        <v>150</v>
      </c>
      <c r="F831" s="27"/>
    </row>
    <row r="832" spans="1:6" ht="24" customHeight="1">
      <c r="A832" s="117" t="s">
        <v>534</v>
      </c>
      <c r="B832" s="2" t="s">
        <v>311</v>
      </c>
      <c r="C832" s="2" t="s">
        <v>307</v>
      </c>
      <c r="D832" s="2" t="s">
        <v>533</v>
      </c>
      <c r="E832" s="24">
        <f>150</f>
        <v>150</v>
      </c>
      <c r="F832" s="27"/>
    </row>
    <row r="833" spans="1:6" ht="28.5" customHeight="1">
      <c r="A833" s="117" t="s">
        <v>15</v>
      </c>
      <c r="B833" s="2" t="s">
        <v>311</v>
      </c>
      <c r="C833" s="5" t="s">
        <v>591</v>
      </c>
      <c r="D833" s="5" t="s">
        <v>335</v>
      </c>
      <c r="E833" s="24">
        <f>E834</f>
        <v>3428</v>
      </c>
      <c r="F833" s="27"/>
    </row>
    <row r="834" spans="1:6" ht="28.5" customHeight="1">
      <c r="A834" s="35" t="s">
        <v>536</v>
      </c>
      <c r="B834" s="2" t="s">
        <v>311</v>
      </c>
      <c r="C834" s="5" t="s">
        <v>591</v>
      </c>
      <c r="D834" s="5" t="s">
        <v>535</v>
      </c>
      <c r="E834" s="24">
        <f>E835</f>
        <v>3428</v>
      </c>
      <c r="F834" s="27"/>
    </row>
    <row r="835" spans="1:6" ht="23.25" customHeight="1">
      <c r="A835" s="117" t="s">
        <v>534</v>
      </c>
      <c r="B835" s="2" t="s">
        <v>311</v>
      </c>
      <c r="C835" s="2" t="s">
        <v>591</v>
      </c>
      <c r="D835" s="2" t="s">
        <v>533</v>
      </c>
      <c r="E835" s="24">
        <f>3728-300</f>
        <v>3428</v>
      </c>
      <c r="F835" s="27"/>
    </row>
    <row r="836" spans="1:6" ht="30.75" customHeight="1">
      <c r="A836" s="15" t="s">
        <v>543</v>
      </c>
      <c r="B836" s="2" t="s">
        <v>311</v>
      </c>
      <c r="C836" s="5" t="s">
        <v>472</v>
      </c>
      <c r="D836" s="5" t="s">
        <v>335</v>
      </c>
      <c r="E836" s="24">
        <f>E838</f>
        <v>6579.299999999999</v>
      </c>
      <c r="F836" s="27"/>
    </row>
    <row r="837" spans="1:6" ht="23.25" customHeight="1">
      <c r="A837" s="117" t="s">
        <v>211</v>
      </c>
      <c r="B837" s="2" t="s">
        <v>311</v>
      </c>
      <c r="C837" s="2" t="s">
        <v>592</v>
      </c>
      <c r="D837" s="2" t="s">
        <v>335</v>
      </c>
      <c r="E837" s="24">
        <f>E838</f>
        <v>6579.299999999999</v>
      </c>
      <c r="F837" s="27"/>
    </row>
    <row r="838" spans="1:6" ht="31.5" customHeight="1">
      <c r="A838" s="123" t="s">
        <v>536</v>
      </c>
      <c r="B838" s="2" t="s">
        <v>311</v>
      </c>
      <c r="C838" s="2" t="s">
        <v>592</v>
      </c>
      <c r="D838" s="2" t="s">
        <v>535</v>
      </c>
      <c r="E838" s="24">
        <f>E839</f>
        <v>6579.299999999999</v>
      </c>
      <c r="F838" s="27"/>
    </row>
    <row r="839" spans="1:6" ht="19.5" customHeight="1">
      <c r="A839" s="117" t="s">
        <v>534</v>
      </c>
      <c r="B839" s="2" t="s">
        <v>311</v>
      </c>
      <c r="C839" s="2" t="s">
        <v>592</v>
      </c>
      <c r="D839" s="2" t="s">
        <v>533</v>
      </c>
      <c r="E839" s="24">
        <f>8845.4-3000+733.9</f>
        <v>6579.299999999999</v>
      </c>
      <c r="F839" s="27"/>
    </row>
    <row r="840" spans="1:6" ht="41.25" customHeight="1">
      <c r="A840" s="35" t="s">
        <v>28</v>
      </c>
      <c r="B840" s="2" t="s">
        <v>311</v>
      </c>
      <c r="C840" s="5" t="s">
        <v>476</v>
      </c>
      <c r="D840" s="5" t="s">
        <v>335</v>
      </c>
      <c r="E840" s="24">
        <f>E842</f>
        <v>2166.1</v>
      </c>
      <c r="F840" s="27"/>
    </row>
    <row r="841" spans="1:6" ht="41.25" customHeight="1">
      <c r="A841" s="35" t="s">
        <v>29</v>
      </c>
      <c r="B841" s="2" t="s">
        <v>311</v>
      </c>
      <c r="C841" s="5" t="s">
        <v>208</v>
      </c>
      <c r="D841" s="5" t="s">
        <v>335</v>
      </c>
      <c r="E841" s="24">
        <f>E842</f>
        <v>2166.1</v>
      </c>
      <c r="F841" s="27"/>
    </row>
    <row r="842" spans="1:6" ht="19.5" customHeight="1">
      <c r="A842" s="118" t="s">
        <v>509</v>
      </c>
      <c r="B842" s="2" t="s">
        <v>311</v>
      </c>
      <c r="C842" s="2" t="s">
        <v>208</v>
      </c>
      <c r="D842" s="2" t="s">
        <v>508</v>
      </c>
      <c r="E842" s="24">
        <f>E843</f>
        <v>2166.1</v>
      </c>
      <c r="F842" s="27"/>
    </row>
    <row r="843" spans="1:6" ht="27.75" customHeight="1">
      <c r="A843" s="118" t="s">
        <v>511</v>
      </c>
      <c r="B843" s="2" t="s">
        <v>311</v>
      </c>
      <c r="C843" s="2" t="s">
        <v>208</v>
      </c>
      <c r="D843" s="2" t="s">
        <v>510</v>
      </c>
      <c r="E843" s="24">
        <f>3000-150+1450-200-1200-733.9</f>
        <v>2166.1</v>
      </c>
      <c r="F843" s="27"/>
    </row>
    <row r="844" spans="1:6" ht="27.75" customHeight="1">
      <c r="A844" s="117" t="s">
        <v>544</v>
      </c>
      <c r="B844" s="2" t="s">
        <v>311</v>
      </c>
      <c r="C844" s="2" t="s">
        <v>190</v>
      </c>
      <c r="D844" s="2" t="s">
        <v>335</v>
      </c>
      <c r="E844" s="24">
        <f>E851+E845+E854+E848</f>
        <v>253026.8</v>
      </c>
      <c r="F844" s="24">
        <f>F851+F845+F854+F848</f>
        <v>216026.8</v>
      </c>
    </row>
    <row r="845" spans="1:6" ht="40.5" customHeight="1">
      <c r="A845" s="123" t="s">
        <v>196</v>
      </c>
      <c r="B845" s="2" t="s">
        <v>311</v>
      </c>
      <c r="C845" s="2" t="s">
        <v>197</v>
      </c>
      <c r="D845" s="2" t="s">
        <v>335</v>
      </c>
      <c r="E845" s="24">
        <f>E846</f>
        <v>186026.8</v>
      </c>
      <c r="F845" s="24">
        <f>F846</f>
        <v>186026.8</v>
      </c>
    </row>
    <row r="846" spans="1:6" ht="40.5" customHeight="1">
      <c r="A846" s="123" t="s">
        <v>73</v>
      </c>
      <c r="B846" s="2" t="s">
        <v>311</v>
      </c>
      <c r="C846" s="2" t="s">
        <v>197</v>
      </c>
      <c r="D846" s="2" t="s">
        <v>550</v>
      </c>
      <c r="E846" s="24">
        <f>E847</f>
        <v>186026.8</v>
      </c>
      <c r="F846" s="24">
        <f>F847</f>
        <v>186026.8</v>
      </c>
    </row>
    <row r="847" spans="1:6" ht="90.75" customHeight="1">
      <c r="A847" s="117" t="s">
        <v>75</v>
      </c>
      <c r="B847" s="2" t="s">
        <v>311</v>
      </c>
      <c r="C847" s="2" t="s">
        <v>197</v>
      </c>
      <c r="D847" s="2" t="s">
        <v>72</v>
      </c>
      <c r="E847" s="24">
        <f>133000+53026.8</f>
        <v>186026.8</v>
      </c>
      <c r="F847" s="27">
        <f>E847</f>
        <v>186026.8</v>
      </c>
    </row>
    <row r="848" spans="1:6" ht="39.75" customHeight="1">
      <c r="A848" s="35" t="s">
        <v>41</v>
      </c>
      <c r="B848" s="2" t="s">
        <v>311</v>
      </c>
      <c r="C848" s="5" t="s">
        <v>40</v>
      </c>
      <c r="D848" s="5" t="s">
        <v>335</v>
      </c>
      <c r="E848" s="24">
        <f>E849</f>
        <v>30000</v>
      </c>
      <c r="F848" s="24">
        <f>F849</f>
        <v>30000</v>
      </c>
    </row>
    <row r="849" spans="1:6" ht="39.75" customHeight="1">
      <c r="A849" s="123" t="s">
        <v>73</v>
      </c>
      <c r="B849" s="2" t="s">
        <v>311</v>
      </c>
      <c r="C849" s="5" t="s">
        <v>40</v>
      </c>
      <c r="D849" s="5" t="s">
        <v>550</v>
      </c>
      <c r="E849" s="24">
        <f>E850</f>
        <v>30000</v>
      </c>
      <c r="F849" s="24">
        <f>F850</f>
        <v>30000</v>
      </c>
    </row>
    <row r="850" spans="1:6" ht="92.25" customHeight="1">
      <c r="A850" s="117" t="s">
        <v>75</v>
      </c>
      <c r="B850" s="2" t="s">
        <v>311</v>
      </c>
      <c r="C850" s="5" t="s">
        <v>40</v>
      </c>
      <c r="D850" s="5" t="s">
        <v>72</v>
      </c>
      <c r="E850" s="24">
        <f>30000</f>
        <v>30000</v>
      </c>
      <c r="F850" s="24">
        <f>30000</f>
        <v>30000</v>
      </c>
    </row>
    <row r="851" spans="1:6" ht="23.25" customHeight="1">
      <c r="A851" s="130" t="s">
        <v>501</v>
      </c>
      <c r="B851" s="2" t="s">
        <v>311</v>
      </c>
      <c r="C851" s="2" t="s">
        <v>599</v>
      </c>
      <c r="D851" s="2" t="s">
        <v>335</v>
      </c>
      <c r="E851" s="24">
        <f>E852</f>
        <v>7000</v>
      </c>
      <c r="F851" s="27"/>
    </row>
    <row r="852" spans="1:6" ht="42.75" customHeight="1">
      <c r="A852" s="123" t="s">
        <v>73</v>
      </c>
      <c r="B852" s="2" t="s">
        <v>311</v>
      </c>
      <c r="C852" s="2" t="s">
        <v>599</v>
      </c>
      <c r="D852" s="2" t="s">
        <v>550</v>
      </c>
      <c r="E852" s="24">
        <f>E853</f>
        <v>7000</v>
      </c>
      <c r="F852" s="27"/>
    </row>
    <row r="853" spans="1:6" ht="93.75" customHeight="1">
      <c r="A853" s="117" t="s">
        <v>75</v>
      </c>
      <c r="B853" s="2" t="s">
        <v>311</v>
      </c>
      <c r="C853" s="5" t="s">
        <v>599</v>
      </c>
      <c r="D853" s="5" t="s">
        <v>72</v>
      </c>
      <c r="E853" s="24">
        <v>7000</v>
      </c>
      <c r="F853" s="27"/>
    </row>
    <row r="854" spans="1:6" ht="27.75" customHeight="1">
      <c r="A854" s="35" t="s">
        <v>374</v>
      </c>
      <c r="B854" s="2" t="s">
        <v>311</v>
      </c>
      <c r="C854" s="5" t="s">
        <v>376</v>
      </c>
      <c r="D854" s="5" t="s">
        <v>335</v>
      </c>
      <c r="E854" s="24">
        <f>E855</f>
        <v>30000</v>
      </c>
      <c r="F854" s="27"/>
    </row>
    <row r="855" spans="1:6" ht="40.5" customHeight="1">
      <c r="A855" s="123" t="s">
        <v>73</v>
      </c>
      <c r="B855" s="2" t="s">
        <v>311</v>
      </c>
      <c r="C855" s="2" t="s">
        <v>376</v>
      </c>
      <c r="D855" s="2" t="s">
        <v>550</v>
      </c>
      <c r="E855" s="24">
        <f>E856</f>
        <v>30000</v>
      </c>
      <c r="F855" s="27"/>
    </row>
    <row r="856" spans="1:6" ht="93" customHeight="1">
      <c r="A856" s="117" t="s">
        <v>75</v>
      </c>
      <c r="B856" s="2" t="s">
        <v>311</v>
      </c>
      <c r="C856" s="5" t="s">
        <v>376</v>
      </c>
      <c r="D856" s="5" t="s">
        <v>72</v>
      </c>
      <c r="E856" s="24">
        <f>30000</f>
        <v>30000</v>
      </c>
      <c r="F856" s="27"/>
    </row>
    <row r="857" spans="1:6" ht="33" customHeight="1">
      <c r="A857" s="41" t="s">
        <v>101</v>
      </c>
      <c r="B857" s="32" t="s">
        <v>311</v>
      </c>
      <c r="C857" s="37" t="s">
        <v>452</v>
      </c>
      <c r="D857" s="36" t="s">
        <v>335</v>
      </c>
      <c r="E857" s="78">
        <f>E858</f>
        <v>120</v>
      </c>
      <c r="F857" s="27"/>
    </row>
    <row r="858" spans="1:6" ht="33" customHeight="1">
      <c r="A858" s="123" t="s">
        <v>536</v>
      </c>
      <c r="B858" s="32" t="s">
        <v>311</v>
      </c>
      <c r="C858" s="32" t="s">
        <v>579</v>
      </c>
      <c r="D858" s="92" t="s">
        <v>535</v>
      </c>
      <c r="E858" s="79">
        <f>E859</f>
        <v>120</v>
      </c>
      <c r="F858" s="27"/>
    </row>
    <row r="859" spans="1:6" ht="21" customHeight="1">
      <c r="A859" s="74" t="s">
        <v>534</v>
      </c>
      <c r="B859" s="32" t="s">
        <v>311</v>
      </c>
      <c r="C859" s="37" t="s">
        <v>579</v>
      </c>
      <c r="D859" s="36" t="s">
        <v>533</v>
      </c>
      <c r="E859" s="78">
        <v>120</v>
      </c>
      <c r="F859" s="27"/>
    </row>
    <row r="860" spans="1:6" ht="31.5" customHeight="1">
      <c r="A860" s="114" t="s">
        <v>125</v>
      </c>
      <c r="B860" s="32" t="s">
        <v>311</v>
      </c>
      <c r="C860" s="5" t="s">
        <v>293</v>
      </c>
      <c r="D860" s="6" t="s">
        <v>335</v>
      </c>
      <c r="E860" s="30">
        <f>E861</f>
        <v>450</v>
      </c>
      <c r="F860" s="25"/>
    </row>
    <row r="861" spans="1:6" ht="27.75" customHeight="1">
      <c r="A861" s="135" t="s">
        <v>536</v>
      </c>
      <c r="B861" s="32" t="s">
        <v>311</v>
      </c>
      <c r="C861" s="2" t="s">
        <v>126</v>
      </c>
      <c r="D861" s="1" t="s">
        <v>535</v>
      </c>
      <c r="E861" s="24">
        <f>E862</f>
        <v>450</v>
      </c>
      <c r="F861" s="25"/>
    </row>
    <row r="862" spans="1:6" ht="22.5" customHeight="1">
      <c r="A862" s="15" t="s">
        <v>534</v>
      </c>
      <c r="B862" s="32" t="s">
        <v>311</v>
      </c>
      <c r="C862" s="5" t="s">
        <v>126</v>
      </c>
      <c r="D862" s="6" t="s">
        <v>533</v>
      </c>
      <c r="E862" s="30">
        <v>450</v>
      </c>
      <c r="F862" s="25"/>
    </row>
    <row r="863" spans="1:6" ht="23.25" customHeight="1">
      <c r="A863" s="75" t="s">
        <v>168</v>
      </c>
      <c r="B863" s="76" t="s">
        <v>169</v>
      </c>
      <c r="C863" s="76" t="s">
        <v>358</v>
      </c>
      <c r="D863" s="77" t="s">
        <v>335</v>
      </c>
      <c r="E863" s="28">
        <f>E864</f>
        <v>27840</v>
      </c>
      <c r="F863" s="28">
        <f>F864</f>
        <v>25920</v>
      </c>
    </row>
    <row r="864" spans="1:6" ht="30.75" customHeight="1">
      <c r="A864" s="117" t="s">
        <v>544</v>
      </c>
      <c r="B864" s="2" t="s">
        <v>169</v>
      </c>
      <c r="C864" s="2" t="s">
        <v>190</v>
      </c>
      <c r="D864" s="2" t="s">
        <v>335</v>
      </c>
      <c r="E864" s="24">
        <f>E865+E870+E875+E878</f>
        <v>27840</v>
      </c>
      <c r="F864" s="24">
        <f>F865+F870</f>
        <v>25920</v>
      </c>
    </row>
    <row r="865" spans="1:6" ht="44.25" customHeight="1">
      <c r="A865" s="15" t="s">
        <v>524</v>
      </c>
      <c r="B865" s="2" t="s">
        <v>169</v>
      </c>
      <c r="C865" s="5" t="s">
        <v>42</v>
      </c>
      <c r="D865" s="5" t="s">
        <v>335</v>
      </c>
      <c r="E865" s="24">
        <f>E866+E868</f>
        <v>15336</v>
      </c>
      <c r="F865" s="24">
        <f>F866+F868</f>
        <v>15336</v>
      </c>
    </row>
    <row r="866" spans="1:6" ht="54.75" customHeight="1">
      <c r="A866" s="34" t="s">
        <v>267</v>
      </c>
      <c r="B866" s="2" t="s">
        <v>169</v>
      </c>
      <c r="C866" s="5" t="s">
        <v>42</v>
      </c>
      <c r="D866" s="5" t="s">
        <v>600</v>
      </c>
      <c r="E866" s="24">
        <f>E867</f>
        <v>5112</v>
      </c>
      <c r="F866" s="24">
        <f>F867</f>
        <v>5112</v>
      </c>
    </row>
    <row r="867" spans="1:6" ht="17.25" customHeight="1">
      <c r="A867" s="138" t="s">
        <v>179</v>
      </c>
      <c r="B867" s="2" t="s">
        <v>169</v>
      </c>
      <c r="C867" s="5" t="s">
        <v>42</v>
      </c>
      <c r="D867" s="5" t="s">
        <v>421</v>
      </c>
      <c r="E867" s="24">
        <v>5112</v>
      </c>
      <c r="F867" s="24">
        <v>5112</v>
      </c>
    </row>
    <row r="868" spans="1:6" ht="28.5" customHeight="1">
      <c r="A868" s="35" t="s">
        <v>536</v>
      </c>
      <c r="B868" s="2" t="s">
        <v>169</v>
      </c>
      <c r="C868" s="37" t="s">
        <v>42</v>
      </c>
      <c r="D868" s="37" t="s">
        <v>535</v>
      </c>
      <c r="E868" s="79">
        <f>E869</f>
        <v>10224</v>
      </c>
      <c r="F868" s="79">
        <f>F869</f>
        <v>10224</v>
      </c>
    </row>
    <row r="869" spans="1:6" ht="21" customHeight="1">
      <c r="A869" s="116" t="s">
        <v>534</v>
      </c>
      <c r="B869" s="2" t="s">
        <v>169</v>
      </c>
      <c r="C869" s="32" t="s">
        <v>42</v>
      </c>
      <c r="D869" s="32" t="s">
        <v>533</v>
      </c>
      <c r="E869" s="79">
        <f>15336-5112</f>
        <v>10224</v>
      </c>
      <c r="F869" s="79">
        <f>E869</f>
        <v>10224</v>
      </c>
    </row>
    <row r="870" spans="1:6" ht="42" customHeight="1">
      <c r="A870" s="15" t="s">
        <v>525</v>
      </c>
      <c r="B870" s="2" t="s">
        <v>169</v>
      </c>
      <c r="C870" s="5" t="s">
        <v>43</v>
      </c>
      <c r="D870" s="5" t="s">
        <v>335</v>
      </c>
      <c r="E870" s="24">
        <f>E871+E873</f>
        <v>10584</v>
      </c>
      <c r="F870" s="24">
        <f>F871+F873</f>
        <v>10584</v>
      </c>
    </row>
    <row r="871" spans="1:6" ht="55.5" customHeight="1">
      <c r="A871" s="34" t="s">
        <v>268</v>
      </c>
      <c r="B871" s="2" t="s">
        <v>169</v>
      </c>
      <c r="C871" s="5" t="s">
        <v>43</v>
      </c>
      <c r="D871" s="5" t="s">
        <v>600</v>
      </c>
      <c r="E871" s="24">
        <f>E872</f>
        <v>3528</v>
      </c>
      <c r="F871" s="24">
        <f>F872</f>
        <v>3528</v>
      </c>
    </row>
    <row r="872" spans="1:6" ht="19.5" customHeight="1">
      <c r="A872" s="138" t="s">
        <v>179</v>
      </c>
      <c r="B872" s="2" t="s">
        <v>169</v>
      </c>
      <c r="C872" s="5" t="s">
        <v>43</v>
      </c>
      <c r="D872" s="5" t="s">
        <v>421</v>
      </c>
      <c r="E872" s="24">
        <v>3528</v>
      </c>
      <c r="F872" s="24">
        <v>3528</v>
      </c>
    </row>
    <row r="873" spans="1:6" ht="27" customHeight="1">
      <c r="A873" s="35" t="s">
        <v>536</v>
      </c>
      <c r="B873" s="2" t="s">
        <v>169</v>
      </c>
      <c r="C873" s="37" t="s">
        <v>43</v>
      </c>
      <c r="D873" s="37" t="s">
        <v>535</v>
      </c>
      <c r="E873" s="79">
        <f>E874</f>
        <v>7056</v>
      </c>
      <c r="F873" s="79">
        <f>F874</f>
        <v>7056</v>
      </c>
    </row>
    <row r="874" spans="1:6" ht="23.25" customHeight="1">
      <c r="A874" s="116" t="s">
        <v>534</v>
      </c>
      <c r="B874" s="2" t="s">
        <v>169</v>
      </c>
      <c r="C874" s="32" t="s">
        <v>43</v>
      </c>
      <c r="D874" s="32" t="s">
        <v>533</v>
      </c>
      <c r="E874" s="79">
        <f>10584-3528</f>
        <v>7056</v>
      </c>
      <c r="F874" s="79">
        <f>E874</f>
        <v>7056</v>
      </c>
    </row>
    <row r="875" spans="1:6" ht="45" customHeight="1">
      <c r="A875" s="15" t="s">
        <v>516</v>
      </c>
      <c r="B875" s="2" t="s">
        <v>169</v>
      </c>
      <c r="C875" s="5" t="s">
        <v>517</v>
      </c>
      <c r="D875" s="5" t="s">
        <v>335</v>
      </c>
      <c r="E875" s="24">
        <f>E876</f>
        <v>1136</v>
      </c>
      <c r="F875" s="24"/>
    </row>
    <row r="876" spans="1:6" ht="32.25" customHeight="1">
      <c r="A876" s="35" t="s">
        <v>536</v>
      </c>
      <c r="B876" s="2" t="s">
        <v>169</v>
      </c>
      <c r="C876" s="5" t="s">
        <v>517</v>
      </c>
      <c r="D876" s="5" t="s">
        <v>535</v>
      </c>
      <c r="E876" s="24">
        <f>E877</f>
        <v>1136</v>
      </c>
      <c r="F876" s="24"/>
    </row>
    <row r="877" spans="1:6" ht="23.25" customHeight="1">
      <c r="A877" s="117" t="s">
        <v>534</v>
      </c>
      <c r="B877" s="2" t="s">
        <v>169</v>
      </c>
      <c r="C877" s="2" t="s">
        <v>517</v>
      </c>
      <c r="D877" s="2" t="s">
        <v>533</v>
      </c>
      <c r="E877" s="24">
        <f>1704-568</f>
        <v>1136</v>
      </c>
      <c r="F877" s="24"/>
    </row>
    <row r="878" spans="1:6" ht="39.75" customHeight="1">
      <c r="A878" s="15" t="s">
        <v>519</v>
      </c>
      <c r="B878" s="2" t="s">
        <v>169</v>
      </c>
      <c r="C878" s="5" t="s">
        <v>518</v>
      </c>
      <c r="D878" s="5" t="s">
        <v>335</v>
      </c>
      <c r="E878" s="24">
        <f>E879</f>
        <v>784</v>
      </c>
      <c r="F878" s="24"/>
    </row>
    <row r="879" spans="1:6" ht="31.5" customHeight="1">
      <c r="A879" s="123" t="s">
        <v>536</v>
      </c>
      <c r="B879" s="2" t="s">
        <v>169</v>
      </c>
      <c r="C879" s="2" t="s">
        <v>518</v>
      </c>
      <c r="D879" s="2" t="s">
        <v>535</v>
      </c>
      <c r="E879" s="24">
        <f>E880</f>
        <v>784</v>
      </c>
      <c r="F879" s="24"/>
    </row>
    <row r="880" spans="1:6" ht="23.25" customHeight="1">
      <c r="A880" s="15" t="s">
        <v>534</v>
      </c>
      <c r="B880" s="2" t="s">
        <v>169</v>
      </c>
      <c r="C880" s="5" t="s">
        <v>518</v>
      </c>
      <c r="D880" s="5" t="s">
        <v>533</v>
      </c>
      <c r="E880" s="24">
        <f>1176-392</f>
        <v>784</v>
      </c>
      <c r="F880" s="24"/>
    </row>
    <row r="881" spans="1:6" ht="28.5" customHeight="1">
      <c r="A881" s="75" t="s">
        <v>184</v>
      </c>
      <c r="B881" s="76" t="s">
        <v>183</v>
      </c>
      <c r="C881" s="76" t="s">
        <v>358</v>
      </c>
      <c r="D881" s="77" t="s">
        <v>335</v>
      </c>
      <c r="E881" s="28">
        <f>E882</f>
        <v>5912.1</v>
      </c>
      <c r="F881" s="27"/>
    </row>
    <row r="882" spans="1:6" ht="22.5" customHeight="1">
      <c r="A882" s="117" t="s">
        <v>500</v>
      </c>
      <c r="B882" s="2" t="s">
        <v>183</v>
      </c>
      <c r="C882" s="2" t="s">
        <v>116</v>
      </c>
      <c r="D882" s="2" t="s">
        <v>335</v>
      </c>
      <c r="E882" s="24">
        <f>E883</f>
        <v>5912.1</v>
      </c>
      <c r="F882" s="27"/>
    </row>
    <row r="883" spans="1:6" ht="22.5" customHeight="1">
      <c r="A883" s="9" t="s">
        <v>366</v>
      </c>
      <c r="B883" s="2" t="s">
        <v>183</v>
      </c>
      <c r="C883" s="2" t="s">
        <v>477</v>
      </c>
      <c r="D883" s="2" t="s">
        <v>335</v>
      </c>
      <c r="E883" s="24">
        <f>E884+E887+E892</f>
        <v>5912.1</v>
      </c>
      <c r="F883" s="27"/>
    </row>
    <row r="884" spans="1:6" ht="22.5" customHeight="1">
      <c r="A884" s="34" t="s">
        <v>417</v>
      </c>
      <c r="B884" s="2" t="s">
        <v>183</v>
      </c>
      <c r="C884" s="32" t="s">
        <v>117</v>
      </c>
      <c r="D884" s="2" t="s">
        <v>335</v>
      </c>
      <c r="E884" s="30">
        <f>E886</f>
        <v>445.80000000000007</v>
      </c>
      <c r="F884" s="29"/>
    </row>
    <row r="885" spans="1:6" ht="66" customHeight="1">
      <c r="A885" s="21" t="s">
        <v>522</v>
      </c>
      <c r="B885" s="2" t="s">
        <v>183</v>
      </c>
      <c r="C885" s="32" t="s">
        <v>117</v>
      </c>
      <c r="D885" s="2" t="s">
        <v>514</v>
      </c>
      <c r="E885" s="30">
        <f>E886</f>
        <v>445.80000000000007</v>
      </c>
      <c r="F885" s="29"/>
    </row>
    <row r="886" spans="1:6" ht="22.5" customHeight="1">
      <c r="A886" s="20" t="s">
        <v>507</v>
      </c>
      <c r="B886" s="2" t="s">
        <v>183</v>
      </c>
      <c r="C886" s="32" t="s">
        <v>117</v>
      </c>
      <c r="D886" s="2" t="s">
        <v>506</v>
      </c>
      <c r="E886" s="24">
        <f>1055.4-609.6</f>
        <v>445.80000000000007</v>
      </c>
      <c r="F886" s="27"/>
    </row>
    <row r="887" spans="1:6" ht="22.5" customHeight="1">
      <c r="A887" s="118" t="s">
        <v>418</v>
      </c>
      <c r="B887" s="2" t="s">
        <v>183</v>
      </c>
      <c r="C887" s="2" t="s">
        <v>118</v>
      </c>
      <c r="D887" s="2" t="s">
        <v>335</v>
      </c>
      <c r="E887" s="24">
        <f>E888+E890</f>
        <v>5178</v>
      </c>
      <c r="F887" s="27"/>
    </row>
    <row r="888" spans="1:6" ht="66.75" customHeight="1">
      <c r="A888" s="21" t="s">
        <v>522</v>
      </c>
      <c r="B888" s="2" t="s">
        <v>183</v>
      </c>
      <c r="C888" s="2" t="s">
        <v>118</v>
      </c>
      <c r="D888" s="2" t="s">
        <v>514</v>
      </c>
      <c r="E888" s="30">
        <f>E889</f>
        <v>5103.5</v>
      </c>
      <c r="F888" s="29"/>
    </row>
    <row r="889" spans="1:6" ht="22.5" customHeight="1">
      <c r="A889" s="21" t="s">
        <v>507</v>
      </c>
      <c r="B889" s="2" t="s">
        <v>183</v>
      </c>
      <c r="C889" s="2" t="s">
        <v>118</v>
      </c>
      <c r="D889" s="2" t="s">
        <v>506</v>
      </c>
      <c r="E889" s="30">
        <f>7105.6-74.5-1927.6</f>
        <v>5103.5</v>
      </c>
      <c r="F889" s="29"/>
    </row>
    <row r="890" spans="1:6" ht="22.5" customHeight="1">
      <c r="A890" s="9" t="s">
        <v>549</v>
      </c>
      <c r="B890" s="2" t="s">
        <v>183</v>
      </c>
      <c r="C890" s="2" t="s">
        <v>118</v>
      </c>
      <c r="D890" s="2" t="s">
        <v>547</v>
      </c>
      <c r="E890" s="30">
        <f>E891</f>
        <v>74.5</v>
      </c>
      <c r="F890" s="29"/>
    </row>
    <row r="891" spans="1:6" ht="31.5" customHeight="1">
      <c r="A891" s="8" t="s">
        <v>282</v>
      </c>
      <c r="B891" s="2" t="s">
        <v>183</v>
      </c>
      <c r="C891" s="2" t="s">
        <v>118</v>
      </c>
      <c r="D891" s="2" t="s">
        <v>281</v>
      </c>
      <c r="E891" s="30">
        <f>74.5</f>
        <v>74.5</v>
      </c>
      <c r="F891" s="29"/>
    </row>
    <row r="892" spans="1:6" ht="30" customHeight="1">
      <c r="A892" s="34" t="s">
        <v>309</v>
      </c>
      <c r="B892" s="2" t="s">
        <v>183</v>
      </c>
      <c r="C892" s="2" t="s">
        <v>119</v>
      </c>
      <c r="D892" s="2" t="s">
        <v>335</v>
      </c>
      <c r="E892" s="30">
        <f>E893+E895</f>
        <v>288.3</v>
      </c>
      <c r="F892" s="29"/>
    </row>
    <row r="893" spans="1:6" ht="22.5" customHeight="1">
      <c r="A893" s="34" t="s">
        <v>509</v>
      </c>
      <c r="B893" s="2" t="s">
        <v>183</v>
      </c>
      <c r="C893" s="2" t="s">
        <v>119</v>
      </c>
      <c r="D893" s="2" t="s">
        <v>508</v>
      </c>
      <c r="E893" s="30">
        <f>E894</f>
        <v>282.3</v>
      </c>
      <c r="F893" s="29"/>
    </row>
    <row r="894" spans="1:6" ht="32.25" customHeight="1">
      <c r="A894" s="34" t="s">
        <v>511</v>
      </c>
      <c r="B894" s="2" t="s">
        <v>183</v>
      </c>
      <c r="C894" s="2" t="s">
        <v>119</v>
      </c>
      <c r="D894" s="2" t="s">
        <v>510</v>
      </c>
      <c r="E894" s="30">
        <f>381.3-1-110+12</f>
        <v>282.3</v>
      </c>
      <c r="F894" s="29"/>
    </row>
    <row r="895" spans="1:6" ht="22.5" customHeight="1">
      <c r="A895" s="118" t="s">
        <v>513</v>
      </c>
      <c r="B895" s="2" t="s">
        <v>183</v>
      </c>
      <c r="C895" s="2" t="s">
        <v>119</v>
      </c>
      <c r="D895" s="2" t="s">
        <v>512</v>
      </c>
      <c r="E895" s="24">
        <f>E896</f>
        <v>6</v>
      </c>
      <c r="F895" s="27"/>
    </row>
    <row r="896" spans="1:6" ht="18.75" customHeight="1">
      <c r="A896" s="34" t="s">
        <v>532</v>
      </c>
      <c r="B896" s="2" t="s">
        <v>183</v>
      </c>
      <c r="C896" s="2" t="s">
        <v>119</v>
      </c>
      <c r="D896" s="5" t="s">
        <v>531</v>
      </c>
      <c r="E896" s="24">
        <f>2+1+3</f>
        <v>6</v>
      </c>
      <c r="F896" s="27"/>
    </row>
    <row r="897" spans="1:6" s="56" customFormat="1" ht="18" customHeight="1">
      <c r="A897" s="49" t="s">
        <v>312</v>
      </c>
      <c r="B897" s="58" t="s">
        <v>313</v>
      </c>
      <c r="C897" s="58" t="s">
        <v>358</v>
      </c>
      <c r="D897" s="58" t="s">
        <v>335</v>
      </c>
      <c r="E897" s="55">
        <f>E898+E909</f>
        <v>26250</v>
      </c>
      <c r="F897" s="55"/>
    </row>
    <row r="898" spans="1:6" ht="53.25" customHeight="1">
      <c r="A898" s="130" t="s">
        <v>51</v>
      </c>
      <c r="B898" s="1" t="s">
        <v>313</v>
      </c>
      <c r="C898" s="1" t="s">
        <v>443</v>
      </c>
      <c r="D898" s="1" t="s">
        <v>335</v>
      </c>
      <c r="E898" s="27">
        <f>E900+E903</f>
        <v>23250</v>
      </c>
      <c r="F898" s="27"/>
    </row>
    <row r="899" spans="1:6" ht="18.75" customHeight="1">
      <c r="A899" s="16" t="s">
        <v>350</v>
      </c>
      <c r="B899" s="1" t="s">
        <v>314</v>
      </c>
      <c r="C899" s="1" t="s">
        <v>358</v>
      </c>
      <c r="D899" s="1" t="s">
        <v>335</v>
      </c>
      <c r="E899" s="27">
        <f>E900</f>
        <v>13125</v>
      </c>
      <c r="F899" s="27"/>
    </row>
    <row r="900" spans="1:6" ht="30" customHeight="1">
      <c r="A900" s="13" t="s">
        <v>487</v>
      </c>
      <c r="B900" s="6" t="s">
        <v>314</v>
      </c>
      <c r="C900" s="6" t="s">
        <v>52</v>
      </c>
      <c r="D900" s="6" t="s">
        <v>335</v>
      </c>
      <c r="E900" s="27">
        <f>E901</f>
        <v>13125</v>
      </c>
      <c r="F900" s="27"/>
    </row>
    <row r="901" spans="1:6" ht="29.25" customHeight="1">
      <c r="A901" s="123" t="s">
        <v>536</v>
      </c>
      <c r="B901" s="1" t="s">
        <v>314</v>
      </c>
      <c r="C901" s="1" t="s">
        <v>52</v>
      </c>
      <c r="D901" s="1" t="s">
        <v>535</v>
      </c>
      <c r="E901" s="27">
        <f>E902</f>
        <v>13125</v>
      </c>
      <c r="F901" s="27"/>
    </row>
    <row r="902" spans="1:6" ht="18.75" customHeight="1">
      <c r="A902" s="15" t="s">
        <v>539</v>
      </c>
      <c r="B902" s="6" t="s">
        <v>314</v>
      </c>
      <c r="C902" s="6" t="s">
        <v>52</v>
      </c>
      <c r="D902" s="6" t="s">
        <v>538</v>
      </c>
      <c r="E902" s="27">
        <f>9125+3000+1000</f>
        <v>13125</v>
      </c>
      <c r="F902" s="27"/>
    </row>
    <row r="903" spans="1:6" ht="18" customHeight="1">
      <c r="A903" s="16" t="s">
        <v>351</v>
      </c>
      <c r="B903" s="1" t="s">
        <v>315</v>
      </c>
      <c r="C903" s="1" t="s">
        <v>358</v>
      </c>
      <c r="D903" s="1" t="s">
        <v>335</v>
      </c>
      <c r="E903" s="27">
        <f>E904</f>
        <v>10125</v>
      </c>
      <c r="F903" s="27"/>
    </row>
    <row r="904" spans="1:6" ht="20.25" customHeight="1">
      <c r="A904" s="9" t="s">
        <v>488</v>
      </c>
      <c r="B904" s="1" t="s">
        <v>315</v>
      </c>
      <c r="C904" s="1" t="s">
        <v>52</v>
      </c>
      <c r="D904" s="1" t="s">
        <v>335</v>
      </c>
      <c r="E904" s="27">
        <f>E905+E907</f>
        <v>10125</v>
      </c>
      <c r="F904" s="27"/>
    </row>
    <row r="905" spans="1:6" ht="35.25" customHeight="1">
      <c r="A905" s="35" t="s">
        <v>536</v>
      </c>
      <c r="B905" s="6" t="s">
        <v>315</v>
      </c>
      <c r="C905" s="6" t="s">
        <v>52</v>
      </c>
      <c r="D905" s="6" t="s">
        <v>535</v>
      </c>
      <c r="E905" s="27">
        <f>E906</f>
        <v>9125</v>
      </c>
      <c r="F905" s="27"/>
    </row>
    <row r="906" spans="1:6" ht="24" customHeight="1">
      <c r="A906" s="15" t="s">
        <v>539</v>
      </c>
      <c r="B906" s="6" t="s">
        <v>315</v>
      </c>
      <c r="C906" s="6" t="s">
        <v>52</v>
      </c>
      <c r="D906" s="6" t="s">
        <v>538</v>
      </c>
      <c r="E906" s="27">
        <v>9125</v>
      </c>
      <c r="F906" s="27"/>
    </row>
    <row r="907" spans="1:6" ht="30" customHeight="1">
      <c r="A907" s="143" t="s">
        <v>323</v>
      </c>
      <c r="B907" s="1" t="s">
        <v>315</v>
      </c>
      <c r="C907" s="1" t="s">
        <v>52</v>
      </c>
      <c r="D907" s="1" t="s">
        <v>508</v>
      </c>
      <c r="E907" s="27">
        <f>E908</f>
        <v>1000</v>
      </c>
      <c r="F907" s="27"/>
    </row>
    <row r="908" spans="1:6" ht="28.5" customHeight="1">
      <c r="A908" s="34" t="s">
        <v>272</v>
      </c>
      <c r="B908" s="6" t="s">
        <v>315</v>
      </c>
      <c r="C908" s="6" t="s">
        <v>52</v>
      </c>
      <c r="D908" s="6" t="s">
        <v>510</v>
      </c>
      <c r="E908" s="27">
        <f>2000-1000</f>
        <v>1000</v>
      </c>
      <c r="F908" s="27"/>
    </row>
    <row r="909" spans="1:6" ht="21.75" customHeight="1">
      <c r="A909" s="34" t="s">
        <v>140</v>
      </c>
      <c r="B909" s="6" t="s">
        <v>141</v>
      </c>
      <c r="C909" s="5" t="s">
        <v>358</v>
      </c>
      <c r="D909" s="6" t="s">
        <v>335</v>
      </c>
      <c r="E909" s="27">
        <f>E912</f>
        <v>3000</v>
      </c>
      <c r="F909" s="27"/>
    </row>
    <row r="910" spans="1:6" ht="42.75" customHeight="1">
      <c r="A910" s="33" t="s">
        <v>54</v>
      </c>
      <c r="B910" s="6" t="s">
        <v>141</v>
      </c>
      <c r="C910" s="5" t="s">
        <v>454</v>
      </c>
      <c r="D910" s="6" t="s">
        <v>335</v>
      </c>
      <c r="E910" s="27">
        <f>E912</f>
        <v>3000</v>
      </c>
      <c r="F910" s="27"/>
    </row>
    <row r="911" spans="1:6" ht="30" customHeight="1">
      <c r="A911" s="117" t="s">
        <v>504</v>
      </c>
      <c r="B911" s="1" t="s">
        <v>141</v>
      </c>
      <c r="C911" s="2" t="s">
        <v>462</v>
      </c>
      <c r="D911" s="1" t="s">
        <v>335</v>
      </c>
      <c r="E911" s="27">
        <f>E912</f>
        <v>3000</v>
      </c>
      <c r="F911" s="27"/>
    </row>
    <row r="912" spans="1:6" ht="92.25" customHeight="1">
      <c r="A912" s="15" t="s">
        <v>155</v>
      </c>
      <c r="B912" s="6" t="s">
        <v>141</v>
      </c>
      <c r="C912" s="5" t="s">
        <v>590</v>
      </c>
      <c r="D912" s="6" t="s">
        <v>335</v>
      </c>
      <c r="E912" s="27">
        <f>E913</f>
        <v>3000</v>
      </c>
      <c r="F912" s="27"/>
    </row>
    <row r="913" spans="1:6" ht="18" customHeight="1">
      <c r="A913" s="34" t="s">
        <v>513</v>
      </c>
      <c r="B913" s="6" t="s">
        <v>141</v>
      </c>
      <c r="C913" s="5" t="s">
        <v>590</v>
      </c>
      <c r="D913" s="6" t="s">
        <v>512</v>
      </c>
      <c r="E913" s="27">
        <f>E914</f>
        <v>3000</v>
      </c>
      <c r="F913" s="27"/>
    </row>
    <row r="914" spans="1:6" ht="41.25" customHeight="1">
      <c r="A914" s="117" t="s">
        <v>274</v>
      </c>
      <c r="B914" s="1" t="s">
        <v>141</v>
      </c>
      <c r="C914" s="2" t="s">
        <v>590</v>
      </c>
      <c r="D914" s="1" t="s">
        <v>276</v>
      </c>
      <c r="E914" s="27">
        <f>3000</f>
        <v>3000</v>
      </c>
      <c r="F914" s="27"/>
    </row>
    <row r="915" spans="1:6" ht="33" customHeight="1">
      <c r="A915" s="120" t="s">
        <v>360</v>
      </c>
      <c r="B915" s="53" t="s">
        <v>316</v>
      </c>
      <c r="C915" s="53" t="s">
        <v>358</v>
      </c>
      <c r="D915" s="53" t="s">
        <v>335</v>
      </c>
      <c r="E915" s="59">
        <f>E916</f>
        <v>64729.8</v>
      </c>
      <c r="F915" s="28"/>
    </row>
    <row r="916" spans="1:6" ht="28.5" customHeight="1">
      <c r="A916" s="133" t="s">
        <v>6</v>
      </c>
      <c r="B916" s="2" t="s">
        <v>317</v>
      </c>
      <c r="C916" s="1" t="s">
        <v>358</v>
      </c>
      <c r="D916" s="2" t="s">
        <v>335</v>
      </c>
      <c r="E916" s="27">
        <f>E917</f>
        <v>64729.8</v>
      </c>
      <c r="F916" s="28"/>
    </row>
    <row r="917" spans="1:6" ht="29.25" customHeight="1">
      <c r="A917" s="133" t="s">
        <v>53</v>
      </c>
      <c r="B917" s="2" t="s">
        <v>317</v>
      </c>
      <c r="C917" s="1" t="s">
        <v>515</v>
      </c>
      <c r="D917" s="2" t="s">
        <v>335</v>
      </c>
      <c r="E917" s="27">
        <f>E918</f>
        <v>64729.8</v>
      </c>
      <c r="F917" s="27"/>
    </row>
    <row r="918" spans="1:6" ht="32.25" customHeight="1">
      <c r="A918" s="8" t="s">
        <v>82</v>
      </c>
      <c r="B918" s="2" t="s">
        <v>317</v>
      </c>
      <c r="C918" s="6" t="s">
        <v>482</v>
      </c>
      <c r="D918" s="2" t="s">
        <v>335</v>
      </c>
      <c r="E918" s="27">
        <f>E920</f>
        <v>64729.8</v>
      </c>
      <c r="F918" s="27"/>
    </row>
    <row r="919" spans="1:6" ht="19.5" customHeight="1">
      <c r="A919" s="9" t="s">
        <v>356</v>
      </c>
      <c r="B919" s="2" t="s">
        <v>317</v>
      </c>
      <c r="C919" s="1" t="s">
        <v>115</v>
      </c>
      <c r="D919" s="2" t="s">
        <v>335</v>
      </c>
      <c r="E919" s="27">
        <f>E920</f>
        <v>64729.8</v>
      </c>
      <c r="F919" s="27"/>
    </row>
    <row r="920" spans="1:6" ht="18" customHeight="1">
      <c r="A920" s="8" t="s">
        <v>322</v>
      </c>
      <c r="B920" s="2" t="s">
        <v>317</v>
      </c>
      <c r="C920" s="6" t="s">
        <v>115</v>
      </c>
      <c r="D920" s="2" t="s">
        <v>569</v>
      </c>
      <c r="E920" s="27">
        <f>E921</f>
        <v>64729.8</v>
      </c>
      <c r="F920" s="27"/>
    </row>
    <row r="921" spans="1:6" ht="18.75" customHeight="1">
      <c r="A921" s="119" t="s">
        <v>322</v>
      </c>
      <c r="B921" s="2" t="s">
        <v>317</v>
      </c>
      <c r="C921" s="1" t="s">
        <v>115</v>
      </c>
      <c r="D921" s="2" t="s">
        <v>271</v>
      </c>
      <c r="E921" s="27">
        <f>70000+30000-30000-1000-1570.2-2700</f>
        <v>64729.8</v>
      </c>
      <c r="F921" s="27"/>
    </row>
    <row r="922" spans="1:6" ht="48" customHeight="1">
      <c r="A922" s="49" t="s">
        <v>17</v>
      </c>
      <c r="B922" s="58" t="s">
        <v>404</v>
      </c>
      <c r="C922" s="58" t="s">
        <v>358</v>
      </c>
      <c r="D922" s="58" t="s">
        <v>335</v>
      </c>
      <c r="E922" s="55">
        <f>E923</f>
        <v>78321.40000000001</v>
      </c>
      <c r="F922" s="55">
        <f>F923</f>
        <v>50000</v>
      </c>
    </row>
    <row r="923" spans="1:6" ht="29.25" customHeight="1">
      <c r="A923" s="16" t="s">
        <v>308</v>
      </c>
      <c r="B923" s="2" t="s">
        <v>405</v>
      </c>
      <c r="C923" s="2" t="s">
        <v>358</v>
      </c>
      <c r="D923" s="2" t="s">
        <v>335</v>
      </c>
      <c r="E923" s="27">
        <f>E924+E932+E935+E927</f>
        <v>78321.40000000001</v>
      </c>
      <c r="F923" s="27">
        <f>F924+F932+F935</f>
        <v>50000</v>
      </c>
    </row>
    <row r="924" spans="1:6" ht="44.25" customHeight="1">
      <c r="A924" s="8" t="s">
        <v>269</v>
      </c>
      <c r="B924" s="2" t="s">
        <v>405</v>
      </c>
      <c r="C924" s="6" t="s">
        <v>177</v>
      </c>
      <c r="D924" s="2" t="s">
        <v>335</v>
      </c>
      <c r="E924" s="27">
        <f>E925</f>
        <v>11445.1</v>
      </c>
      <c r="F924" s="27"/>
    </row>
    <row r="925" spans="1:6" ht="20.25" customHeight="1">
      <c r="A925" s="110" t="s">
        <v>601</v>
      </c>
      <c r="B925" s="2" t="s">
        <v>405</v>
      </c>
      <c r="C925" s="6" t="s">
        <v>177</v>
      </c>
      <c r="D925" s="2" t="s">
        <v>600</v>
      </c>
      <c r="E925" s="27">
        <f>E926</f>
        <v>11445.1</v>
      </c>
      <c r="F925" s="27"/>
    </row>
    <row r="926" spans="1:6" ht="20.25" customHeight="1">
      <c r="A926" s="14" t="s">
        <v>179</v>
      </c>
      <c r="B926" s="2" t="s">
        <v>405</v>
      </c>
      <c r="C926" s="6" t="s">
        <v>177</v>
      </c>
      <c r="D926" s="2" t="s">
        <v>421</v>
      </c>
      <c r="E926" s="27">
        <v>11445.1</v>
      </c>
      <c r="F926" s="27"/>
    </row>
    <row r="927" spans="1:6" ht="56.25" customHeight="1">
      <c r="A927" s="8" t="s">
        <v>473</v>
      </c>
      <c r="B927" s="2" t="s">
        <v>405</v>
      </c>
      <c r="C927" s="6" t="s">
        <v>474</v>
      </c>
      <c r="D927" s="2" t="s">
        <v>335</v>
      </c>
      <c r="E927" s="27">
        <f>E928</f>
        <v>6115.3</v>
      </c>
      <c r="F927" s="27"/>
    </row>
    <row r="928" spans="1:6" ht="20.25" customHeight="1">
      <c r="A928" s="110" t="s">
        <v>601</v>
      </c>
      <c r="B928" s="2" t="s">
        <v>405</v>
      </c>
      <c r="C928" s="6" t="s">
        <v>474</v>
      </c>
      <c r="D928" s="2" t="s">
        <v>600</v>
      </c>
      <c r="E928" s="27">
        <f>E929</f>
        <v>6115.3</v>
      </c>
      <c r="F928" s="27"/>
    </row>
    <row r="929" spans="1:6" ht="20.25" customHeight="1">
      <c r="A929" s="14" t="s">
        <v>179</v>
      </c>
      <c r="B929" s="2" t="s">
        <v>405</v>
      </c>
      <c r="C929" s="6" t="s">
        <v>474</v>
      </c>
      <c r="D929" s="2" t="s">
        <v>421</v>
      </c>
      <c r="E929" s="27">
        <f>5925.3+190</f>
        <v>6115.3</v>
      </c>
      <c r="F929" s="27"/>
    </row>
    <row r="930" spans="1:6" ht="56.25" customHeight="1">
      <c r="A930" s="41" t="s">
        <v>57</v>
      </c>
      <c r="B930" s="2" t="s">
        <v>405</v>
      </c>
      <c r="C930" s="6" t="s">
        <v>455</v>
      </c>
      <c r="D930" s="2" t="s">
        <v>335</v>
      </c>
      <c r="E930" s="27">
        <f>E931</f>
        <v>50000</v>
      </c>
      <c r="F930" s="27">
        <f>F931</f>
        <v>50000</v>
      </c>
    </row>
    <row r="931" spans="1:6" ht="29.25" customHeight="1">
      <c r="A931" s="117" t="s">
        <v>544</v>
      </c>
      <c r="B931" s="2" t="s">
        <v>405</v>
      </c>
      <c r="C931" s="6" t="s">
        <v>190</v>
      </c>
      <c r="D931" s="2" t="s">
        <v>335</v>
      </c>
      <c r="E931" s="27">
        <f>E932</f>
        <v>50000</v>
      </c>
      <c r="F931" s="27">
        <f>F932</f>
        <v>50000</v>
      </c>
    </row>
    <row r="932" spans="1:6" ht="78.75" customHeight="1">
      <c r="A932" s="80" t="s">
        <v>61</v>
      </c>
      <c r="B932" s="2" t="s">
        <v>405</v>
      </c>
      <c r="C932" s="2" t="s">
        <v>381</v>
      </c>
      <c r="D932" s="2" t="s">
        <v>335</v>
      </c>
      <c r="E932" s="25">
        <f>E933</f>
        <v>50000</v>
      </c>
      <c r="F932" s="25">
        <f>E932</f>
        <v>50000</v>
      </c>
    </row>
    <row r="933" spans="1:6" ht="23.25" customHeight="1">
      <c r="A933" s="138" t="s">
        <v>170</v>
      </c>
      <c r="B933" s="2" t="s">
        <v>405</v>
      </c>
      <c r="C933" s="2" t="s">
        <v>381</v>
      </c>
      <c r="D933" s="2" t="s">
        <v>600</v>
      </c>
      <c r="E933" s="25">
        <f>E934</f>
        <v>50000</v>
      </c>
      <c r="F933" s="25">
        <f>F934</f>
        <v>50000</v>
      </c>
    </row>
    <row r="934" spans="1:6" ht="22.5" customHeight="1">
      <c r="A934" s="14" t="s">
        <v>179</v>
      </c>
      <c r="B934" s="2" t="s">
        <v>405</v>
      </c>
      <c r="C934" s="2" t="s">
        <v>381</v>
      </c>
      <c r="D934" s="2" t="s">
        <v>421</v>
      </c>
      <c r="E934" s="27">
        <f>42396+6839+765</f>
        <v>50000</v>
      </c>
      <c r="F934" s="27">
        <f>E934</f>
        <v>50000</v>
      </c>
    </row>
    <row r="935" spans="1:6" ht="130.5" customHeight="1">
      <c r="A935" s="104" t="s">
        <v>548</v>
      </c>
      <c r="B935" s="2" t="s">
        <v>405</v>
      </c>
      <c r="C935" s="2" t="s">
        <v>74</v>
      </c>
      <c r="D935" s="2" t="s">
        <v>335</v>
      </c>
      <c r="E935" s="25">
        <f>E936</f>
        <v>10761</v>
      </c>
      <c r="F935" s="25"/>
    </row>
    <row r="936" spans="1:6" ht="24" customHeight="1">
      <c r="A936" s="144" t="s">
        <v>170</v>
      </c>
      <c r="B936" s="2" t="s">
        <v>405</v>
      </c>
      <c r="C936" s="2" t="s">
        <v>74</v>
      </c>
      <c r="D936" s="2" t="s">
        <v>600</v>
      </c>
      <c r="E936" s="25">
        <f>E937</f>
        <v>10761</v>
      </c>
      <c r="F936" s="25"/>
    </row>
    <row r="937" spans="1:6" ht="24" customHeight="1">
      <c r="A937" s="14" t="s">
        <v>179</v>
      </c>
      <c r="B937" s="2" t="s">
        <v>405</v>
      </c>
      <c r="C937" s="2" t="s">
        <v>74</v>
      </c>
      <c r="D937" s="2" t="s">
        <v>421</v>
      </c>
      <c r="E937" s="25">
        <f>9947.8+52.2+761</f>
        <v>10761</v>
      </c>
      <c r="F937" s="25"/>
    </row>
    <row r="938" spans="1:8" ht="21" customHeight="1">
      <c r="A938" s="45" t="s">
        <v>355</v>
      </c>
      <c r="B938" s="19"/>
      <c r="C938" s="19"/>
      <c r="D938" s="19"/>
      <c r="E938" s="137">
        <f>E24+E256+E261+E289+E365+E402+E409+E689+E758+E767+E922+E826+E897+E915</f>
        <v>5568827.227</v>
      </c>
      <c r="F938" s="137">
        <f>F24+F256+F261+F289+F365+F402+F409+F689+F758+F767+F922+F826+F897+F915</f>
        <v>3483093.2999999993</v>
      </c>
      <c r="H938" s="91"/>
    </row>
    <row r="942" spans="6:10" ht="12.75">
      <c r="F942" s="91">
        <f>E938-F938</f>
        <v>2085733.9270000006</v>
      </c>
      <c r="J942" s="91"/>
    </row>
    <row r="943" ht="12.75">
      <c r="E943" s="124"/>
    </row>
    <row r="944" ht="12.75">
      <c r="E944" s="124"/>
    </row>
    <row r="945" ht="12.75">
      <c r="E945" s="124"/>
    </row>
    <row r="946" ht="12.75">
      <c r="E946" s="124"/>
    </row>
    <row r="947" ht="12.75">
      <c r="E947" s="124"/>
    </row>
    <row r="948" ht="12.75">
      <c r="E948" s="124"/>
    </row>
  </sheetData>
  <sheetProtection/>
  <autoFilter ref="A23:K938"/>
  <mergeCells count="6">
    <mergeCell ref="A18:F18"/>
    <mergeCell ref="A19:F19"/>
    <mergeCell ref="A22:A23"/>
    <mergeCell ref="B22:D22"/>
    <mergeCell ref="E22:E23"/>
    <mergeCell ref="F22:F23"/>
  </mergeCells>
  <printOptions horizontalCentered="1"/>
  <pageMargins left="0.8661417322834646" right="0.2362204724409449" top="0.5118110236220472" bottom="0.2362204724409449" header="0.2755905511811024" footer="0.2362204724409449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Анна Николаевна</cp:lastModifiedBy>
  <cp:lastPrinted>2015-12-17T08:21:02Z</cp:lastPrinted>
  <dcterms:created xsi:type="dcterms:W3CDTF">2003-07-23T10:25:27Z</dcterms:created>
  <dcterms:modified xsi:type="dcterms:W3CDTF">2015-12-18T07:26:48Z</dcterms:modified>
  <cp:category/>
  <cp:version/>
  <cp:contentType/>
  <cp:contentStatus/>
</cp:coreProperties>
</file>