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1" activeTab="1"/>
  </bookViews>
  <sheets>
    <sheet name="доходы 2019" sheetId="1" r:id="rId1"/>
    <sheet name="расходы 2019" sheetId="2" r:id="rId2"/>
    <sheet name="ведомст 2019" sheetId="3" r:id="rId3"/>
    <sheet name="дефицит 2019" sheetId="4" r:id="rId4"/>
    <sheet name="муниц прогр 2019" sheetId="5" r:id="rId5"/>
    <sheet name="муниц гарант 2019" sheetId="6" r:id="rId6"/>
    <sheet name="заимств 2019" sheetId="7" r:id="rId7"/>
    <sheet name="резервный фонд 2019 (2)" sheetId="8" r:id="rId8"/>
  </sheets>
  <definedNames>
    <definedName name="_xlnm._FilterDatabase" localSheetId="2" hidden="1">'ведомст 2019'!$A$9:$F$269</definedName>
    <definedName name="Excel_BuiltIn__FilterDatabase" localSheetId="4">'муниц прогр 2019'!$A$10:$C$257</definedName>
    <definedName name="Excel_BuiltIn__FilterDatabase" localSheetId="1">'расходы 2019'!$A$8:$E$302</definedName>
    <definedName name="Z_072D351B_4DCF_4C5F_BB0C_B1F84EBBD46B_.wvu.Cols" localSheetId="4">'муниц прогр 2019'!#REF!</definedName>
    <definedName name="Z_072D351B_4DCF_4C5F_BB0C_B1F84EBBD46B_.wvu.PrintArea" localSheetId="4">'муниц прогр 2019'!$A$7:$D$288</definedName>
    <definedName name="Z_072D351B_4DCF_4C5F_BB0C_B1F84EBBD46B_.wvu.PrintTitles" localSheetId="4">'муниц прогр 2019'!$10:$10</definedName>
    <definedName name="Z_3708D406_71C9_49CC_A67A_2D2190B41A82_.wvu.FilterData" localSheetId="1">'расходы 2019'!$A$12:$D$302</definedName>
    <definedName name="Z_4739F1B8_629E_4911_A516_CBE7309FD785_.wvu.FilterData" localSheetId="2">'ведомст 2019'!$A$9:$F$269</definedName>
    <definedName name="Z_4AF32C0D_3EF2_4B3B_9612_87CA8DBB6ACF_.wvu.Cols" localSheetId="4">'муниц прогр 2019'!#REF!</definedName>
    <definedName name="Z_4AF32C0D_3EF2_4B3B_9612_87CA8DBB6ACF_.wvu.PrintArea" localSheetId="4">'муниц прогр 2019'!$A$7:$D$288</definedName>
    <definedName name="Z_4AF32C0D_3EF2_4B3B_9612_87CA8DBB6ACF_.wvu.PrintTitles" localSheetId="4">'муниц прогр 2019'!$10:$10</definedName>
    <definedName name="Z_5F1072CB_A768_452E_BCF8_20340BB8BAB0_.wvu.Cols" localSheetId="4">'муниц прогр 2019'!#REF!</definedName>
    <definedName name="Z_5F1072CB_A768_452E_BCF8_20340BB8BAB0_.wvu.PrintArea" localSheetId="4">'муниц прогр 2019'!$A$7:$D$288</definedName>
    <definedName name="Z_5F1072CB_A768_452E_BCF8_20340BB8BAB0_.wvu.PrintTitles" localSheetId="4">'муниц прогр 2019'!$10:$10</definedName>
    <definedName name="Z_602708FF_2C0D_4423_A41F_A0DAD053BCB9_.wvu.FilterData" localSheetId="2">'ведомст 2019'!$A$9:$F$269</definedName>
    <definedName name="Z_742DD9F2_8A71_4480_AC11_A74320E5619E_.wvu.FilterData" localSheetId="1">'расходы 2019'!$A$12:$D$302</definedName>
    <definedName name="Z_829AF458_32E9_4EBE_8AEA_C1C6BE533EAE_.wvu.FilterData" localSheetId="1">'расходы 2019'!$A$12:$D$302</definedName>
    <definedName name="Z_829AF458_32E9_4EBE_8AEA_C1C6BE533EAE_.wvu.PrintArea" localSheetId="1">'расходы 2019'!$A$8:$E$307</definedName>
    <definedName name="Z_829AF458_32E9_4EBE_8AEA_C1C6BE533EAE_.wvu.PrintTitles" localSheetId="1">'расходы 2019'!$9:$11</definedName>
    <definedName name="Z_829AF458_32E9_4EBE_8AEA_C1C6BE533EAE_.wvu.Rows" localSheetId="1">'расходы 2019'!#REF!</definedName>
    <definedName name="Z_858EF935_9412_49EF_81B0_F8CE77DDB678_.wvu.FilterData" localSheetId="2">'ведомст 2019'!$A$9:$F$269</definedName>
    <definedName name="Z_858EF935_9412_49EF_81B0_F8CE77DDB678_.wvu.PrintArea" localSheetId="2">'ведомст 2019'!$A$7:$G$269</definedName>
    <definedName name="Z_858EF935_9412_49EF_81B0_F8CE77DDB678_.wvu.PrintTitles" localSheetId="2">'ведомст 2019'!$9:$9</definedName>
    <definedName name="Z_8E538972_DCB6_4DF0_B6A0_1DAF22EE85A5_.wvu.FilterData" localSheetId="1">'расходы 2019'!$A$12:$D$302</definedName>
    <definedName name="Z_8E538972_DCB6_4DF0_B6A0_1DAF22EE85A5_.wvu.PrintArea" localSheetId="1">'расходы 2019'!$A$8:$E$307</definedName>
    <definedName name="Z_8E538972_DCB6_4DF0_B6A0_1DAF22EE85A5_.wvu.PrintTitles" localSheetId="1">'расходы 2019'!$9:$11</definedName>
    <definedName name="Z_8E538972_DCB6_4DF0_B6A0_1DAF22EE85A5_.wvu.Rows" localSheetId="1">'расходы 2019'!#REF!</definedName>
    <definedName name="Z_93FC2DE2_8935_4E50_BFC5_18187CAC2303_.wvu.FilterData" localSheetId="2">'ведомст 2019'!$A$9:$F$269</definedName>
    <definedName name="Z_A26D4967_F1CF_4E95_A59C_FC369D6520C7_.wvu.FilterData" localSheetId="1">'расходы 2019'!$A$12:$D$302</definedName>
    <definedName name="Z_A26D4967_F1CF_4E95_A59C_FC369D6520C7_.wvu.PrintArea" localSheetId="1">'расходы 2019'!$A$8:$E$307</definedName>
    <definedName name="Z_A26D4967_F1CF_4E95_A59C_FC369D6520C7_.wvu.PrintTitles" localSheetId="1">'расходы 2019'!$9:$11</definedName>
    <definedName name="Z_A26D4967_F1CF_4E95_A59C_FC369D6520C7_.wvu.Rows" localSheetId="1">'расходы 2019'!#REF!</definedName>
    <definedName name="Z_B452F1D7_E242_4E66_AEEE_75884A98B5E4_.wvu.FilterData" localSheetId="1">'расходы 2019'!$A$12:$D$302</definedName>
    <definedName name="Z_D0485094_6CEC_4C5E_AB0A_25AE40B80192_.wvu.FilterData" localSheetId="2">'ведомст 2019'!$A$9:$F$269</definedName>
    <definedName name="Z_DEEAFF70_302D_4EE4_8D9C_7BB1BBA5AB30_.wvu.FilterData" localSheetId="1">'расходы 2019'!$A$12:$D$302</definedName>
    <definedName name="Z_E1A64AA6_FE7B_435E_A2C2_7EDB8F67314E_.wvu.FilterData" localSheetId="2">'ведомст 2019'!$A$9:$F$269</definedName>
    <definedName name="Z_E1A64AA6_FE7B_435E_A2C2_7EDB8F67314E_.wvu.PrintTitles" localSheetId="2">'ведомст 2019'!$9:$9</definedName>
    <definedName name="Z_E29607FC_896B_4EBF_BC37_379DE748C961_.wvu.FilterData" localSheetId="2">'ведомст 2019'!$A$9:$F$269</definedName>
    <definedName name="_xlnm.Print_Area" localSheetId="2">'ведомст 2019'!$A$1:$I$303</definedName>
    <definedName name="_xlnm.Print_Area" localSheetId="0">'доходы 2019'!$A$1:$E$54</definedName>
    <definedName name="_xlnm.Print_Area" localSheetId="1">'расходы 2019'!$A$1:$G$302</definedName>
    <definedName name="_xlnm.Print_Area" localSheetId="7">'резервный фонд 2019 (2)'!$A$1:$G$33</definedName>
  </definedNames>
  <calcPr fullCalcOnLoad="1"/>
</workbook>
</file>

<file path=xl/sharedStrings.xml><?xml version="1.0" encoding="utf-8"?>
<sst xmlns="http://schemas.openxmlformats.org/spreadsheetml/2006/main" count="3554" uniqueCount="580">
  <si>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</si>
  <si>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</si>
  <si>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</si>
  <si>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Приложение № 2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</si>
  <si>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</si>
  <si>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</si>
  <si>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</si>
  <si>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</si>
  <si>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</si>
  <si>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</si>
  <si>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</si>
  <si>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</si>
  <si>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</si>
  <si>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</si>
  <si>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</si>
  <si>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</si>
  <si>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</si>
  <si>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</si>
  <si>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</si>
  <si>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</si>
  <si>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</si>
  <si>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</si>
  <si>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</si>
  <si>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</si>
  <si>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</si>
  <si>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</si>
  <si>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</si>
  <si>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</si>
  <si>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</si>
  <si>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</si>
  <si>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</si>
  <si>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</si>
  <si>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</si>
  <si>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</si>
  <si>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</si>
  <si>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</si>
  <si>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</si>
  <si>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</si>
  <si>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</si>
  <si>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</si>
  <si>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</si>
  <si>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</si>
  <si>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</si>
  <si>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</si>
  <si>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</si>
  <si>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</si>
  <si>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</si>
  <si>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</si>
  <si>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</si>
  <si>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</si>
  <si>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</si>
  <si>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</si>
  <si>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</si>
  <si>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</si>
  <si>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</si>
  <si>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</si>
  <si>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</si>
  <si>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</si>
  <si>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</si>
  <si>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</si>
  <si>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</si>
  <si>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</si>
  <si>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</si>
  <si>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</si>
  <si>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</si>
  <si>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</si>
  <si>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</si>
  <si>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</si>
  <si>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</si>
  <si>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</si>
  <si>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</si>
  <si>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</si>
  <si>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</si>
  <si>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</si>
  <si>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</si>
  <si>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</si>
  <si>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</si>
  <si>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</si>
  <si>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</si>
  <si>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</si>
  <si>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</si>
  <si>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</si>
  <si>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</si>
  <si>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</si>
  <si>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</si>
  <si>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</si>
  <si>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</si>
  <si>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</si>
  <si>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</si>
  <si>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</si>
  <si>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</si>
  <si>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</si>
  <si>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</si>
  <si>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</si>
  <si>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</si>
  <si>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</si>
  <si>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</si>
  <si>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</si>
  <si>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</si>
  <si>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</si>
  <si>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</si>
  <si>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</si>
  <si>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</si>
  <si>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</si>
  <si>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</si>
  <si>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</si>
  <si>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</si>
  <si>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</si>
  <si>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</si>
  <si>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</si>
  <si>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</si>
  <si>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</si>
  <si>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</si>
  <si>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</si>
  <si>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</si>
  <si>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</si>
  <si>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</si>
  <si>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</si>
  <si>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</si>
  <si>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</si>
  <si>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</si>
  <si>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</si>
  <si>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</si>
  <si>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</si>
  <si>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</si>
  <si>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</si>
  <si>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</si>
  <si>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</si>
  <si>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</si>
  <si>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</si>
  <si>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</si>
  <si>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</si>
  <si>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</si>
  <si>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</si>
  <si>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</si>
  <si>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</si>
  <si>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</si>
  <si>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</si>
  <si>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</si>
  <si>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</si>
  <si>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</si>
  <si>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</si>
  <si>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</si>
  <si>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</si>
  <si>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</si>
  <si>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</si>
  <si>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</si>
  <si>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</si>
  <si>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</si>
  <si>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</si>
  <si>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</si>
  <si>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</si>
  <si>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</si>
  <si>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</si>
  <si>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</si>
  <si>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</si>
  <si>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</si>
  <si>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</si>
  <si>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</si>
  <si>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</si>
  <si>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</si>
  <si>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</si>
  <si>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</si>
  <si>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</si>
  <si>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</si>
  <si>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</si>
  <si>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</si>
  <si>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</si>
  <si>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</si>
  <si>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</si>
  <si>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</si>
  <si>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</si>
  <si>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</si>
  <si>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</si>
  <si>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</si>
  <si>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</si>
  <si>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</si>
  <si>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</si>
  <si>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</si>
  <si>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</si>
  <si>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</si>
  <si>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</si>
  <si>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</si>
  <si>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</si>
  <si>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</si>
  <si>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</si>
  <si>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</si>
  <si>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</si>
  <si>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</si>
  <si>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</si>
  <si>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</si>
  <si>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</si>
  <si>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</si>
  <si>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</si>
  <si>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</si>
  <si>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</si>
  <si>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</si>
  <si>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</si>
  <si>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</si>
  <si>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</si>
  <si>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</si>
  <si>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</si>
  <si>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</si>
  <si>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</si>
  <si>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</si>
  <si>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</si>
  <si>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</si>
  <si>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</si>
  <si>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</si>
  <si>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</si>
  <si>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</si>
  <si>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</si>
  <si>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</si>
  <si>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</si>
  <si>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</si>
  <si>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</si>
  <si>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</si>
  <si>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</si>
  <si>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</si>
  <si>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</si>
  <si>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</si>
  <si>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</si>
  <si>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</si>
  <si>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</si>
  <si>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</si>
  <si>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</si>
  <si>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</si>
  <si>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</si>
  <si>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</si>
  <si>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</si>
  <si>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</si>
  <si>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</si>
  <si>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</si>
  <si>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</si>
  <si>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</si>
  <si>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</si>
  <si>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</si>
  <si>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</si>
  <si>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</si>
  <si>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</si>
  <si>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</si>
  <si>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</si>
  <si>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</si>
  <si>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</si>
  <si>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</si>
  <si>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</si>
  <si>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</si>
  <si>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</si>
  <si>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</si>
  <si>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</si>
  <si>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</si>
  <si>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</si>
  <si>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</si>
  <si>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</si>
  <si>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</si>
  <si>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</si>
  <si>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</si>
  <si>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</si>
  <si>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</si>
  <si>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</si>
  <si>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</si>
  <si>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</si>
  <si>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</si>
  <si>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</si>
  <si>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</si>
  <si>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</si>
  <si>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</si>
  <si>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</si>
  <si>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</si>
  <si>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</si>
  <si>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</si>
  <si>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</si>
  <si>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</si>
  <si>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</si>
  <si>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</si>
  <si>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</si>
  <si>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</si>
  <si>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</si>
  <si>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</si>
  <si>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</si>
  <si>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</si>
  <si>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</si>
  <si>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</si>
  <si>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</si>
  <si>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</si>
  <si>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</si>
  <si>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</si>
  <si>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</si>
  <si>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</si>
  <si>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</si>
  <si>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</si>
  <si>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</si>
  <si>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</si>
  <si>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</si>
  <si>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</si>
  <si>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</si>
  <si>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</si>
  <si>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</si>
  <si>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</si>
  <si>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</si>
  <si>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</si>
  <si>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</si>
  <si>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</si>
  <si>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</si>
  <si>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</si>
  <si>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</si>
  <si>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</si>
  <si>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</si>
  <si>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</si>
  <si>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</si>
  <si>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</si>
  <si>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</si>
  <si>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</si>
  <si>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</si>
  <si>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</si>
  <si>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</si>
  <si>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</si>
  <si>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</si>
  <si>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</si>
  <si>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</si>
  <si>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</si>
  <si>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</si>
  <si>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</si>
  <si>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</si>
  <si>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</si>
  <si>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</si>
  <si>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</si>
  <si>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</si>
  <si>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</si>
  <si>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</si>
  <si>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</si>
  <si>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</si>
  <si>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</si>
  <si>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</si>
  <si>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</si>
  <si>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</si>
  <si>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</si>
  <si>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</si>
  <si>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</si>
  <si>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</si>
  <si>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</si>
  <si>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</si>
  <si>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</si>
  <si>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</si>
  <si>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</si>
  <si>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</si>
  <si>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</si>
  <si>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</si>
  <si>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</si>
  <si>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</si>
  <si>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</si>
  <si>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</si>
  <si>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</si>
  <si>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</si>
  <si>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</si>
  <si>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</si>
  <si>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</si>
  <si>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</si>
  <si>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</si>
  <si>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</si>
  <si>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</si>
  <si>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</si>
  <si>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</si>
  <si>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</si>
  <si>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</si>
  <si>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</si>
  <si>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</si>
  <si>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</si>
  <si>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№ п/п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</si>
  <si>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</si>
  <si>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</si>
  <si>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Приложение № 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</si>
  <si>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</si>
  <si>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</si>
  <si>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</si>
  <si>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</si>
  <si>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</si>
  <si>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к Решению Совета депутатов</t>
  </si>
  <si>
    <t xml:space="preserve">Сергиево-Посадского городского </t>
  </si>
  <si>
    <t>округа Московской  области</t>
  </si>
  <si>
    <t>Государственная программа Московской области " Формирование комфортной городской среды"</t>
  </si>
  <si>
    <t>06 2 04 61350</t>
  </si>
  <si>
    <t xml:space="preserve">     Приложение № 1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</si>
  <si>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2019 год </t>
  </si>
  <si>
    <t>Коды</t>
  </si>
  <si>
    <t>НАЛОГОВЫЕ  И НЕНАЛОГОВЫЕ ДОХОДЫ</t>
  </si>
  <si>
    <t>000 1 00 00000 00 0000 000</t>
  </si>
  <si>
    <t>НАЛОГОВЫЕ ДОХОДЫ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</si>
  <si>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</si>
  <si>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</si>
  <si>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</si>
  <si>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</si>
  <si>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</si>
  <si>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</si>
  <si>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</si>
  <si>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</si>
  <si>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</si>
  <si>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</si>
  <si>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</si>
  <si>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</si>
  <si>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000 1 05 00000 00 0000 000 </t>
  </si>
  <si>
    <t>НАЛОГИ НА СОВОКУПНЫЙ ДОХОД</t>
  </si>
  <si>
    <t xml:space="preserve">000 1 05 03010 01 0000 110 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</si>
  <si>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</si>
  <si>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</si>
  <si>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</si>
  <si>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</si>
  <si>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</si>
  <si>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000 1 06 06000 13 0000 110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</si>
  <si>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</si>
  <si>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</si>
  <si>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</si>
  <si>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</si>
  <si>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года), мобилизуемый на территориях городских  поселений</t>
  </si>
  <si>
    <t>НЕНАЛОГОВЫЕ ДОХОДЫ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</si>
  <si>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</si>
  <si>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</si>
  <si>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 xml:space="preserve">000 1 11 05013 00 0000 120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</si>
  <si>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</si>
  <si>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</si>
  <si>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</si>
  <si>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</si>
  <si>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 Доходы от сдачи в аренду имущества, составляющего казну поселения (за исключением земельных участков)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</si>
  <si>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</si>
  <si>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</si>
  <si>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</si>
  <si>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</si>
  <si>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</si>
  <si>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</si>
  <si>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</si>
  <si>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</si>
  <si>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</si>
  <si>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</si>
  <si>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</si>
  <si>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</si>
  <si>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000 1 16 90050 13 0000 140</t>
  </si>
  <si>
    <t>ШТРАФЫ, САНКЦИИ, ВОЗМЕЩЕНИЕ УЩЕРБА</t>
  </si>
  <si>
    <t>000 1 17 05050 13 0000 180</t>
  </si>
  <si>
    <t xml:space="preserve">ПРОЧИЕ НЕНАЛОГОВЫЕ ДОХОДЫ 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</si>
  <si>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</si>
  <si>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</si>
  <si>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</si>
  <si>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</si>
  <si>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000 2 02 15001  13 0000 150</t>
  </si>
  <si>
    <t>Дотации бюджетам городских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</si>
  <si>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</si>
  <si>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</si>
  <si>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</si>
  <si>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</si>
  <si>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</si>
  <si>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</si>
  <si>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000 2 02 25228 13 0000 150</t>
  </si>
  <si>
    <t>Субсидии бюджетам городских поселений  на оснащение объектов споривной инфраструктуры спортивно-технологическим оборудованием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</si>
  <si>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</si>
  <si>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</si>
  <si>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</si>
  <si>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</si>
  <si>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000 2 02 30000 00 0000 150</t>
  </si>
  <si>
    <t xml:space="preserve">Субвенции  бюджетам бюджетной системы Российской Федерации 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</si>
  <si>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</si>
  <si>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</si>
  <si>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</si>
  <si>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</si>
  <si>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000 2 02 49999 13 0000 150</t>
  </si>
  <si>
    <t>Прочие межбюджетные трансферты, передаваемые бюджетам городских поселений</t>
  </si>
  <si>
    <t xml:space="preserve">Всего доходов </t>
  </si>
  <si>
    <t>Приложение № 4</t>
  </si>
  <si>
    <t>Источники внутреннего финансирования дефицита бюджета на 2019 год</t>
  </si>
  <si>
    <t>КОД</t>
  </si>
  <si>
    <t>Дефицит бюджета городского поселения Краснозаводск  Сергиево-Посадского муниципального района</t>
  </si>
  <si>
    <t xml:space="preserve">Кредиты кредитных организаций в валюте Российской Федерации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</si>
  <si>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</si>
  <si>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</si>
  <si>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000 0102 00 00 00 0000 700 </t>
  </si>
  <si>
    <t xml:space="preserve">Получение кредитов от кредитных организаций бюджетами поселений  в валюте Российской Федерации </t>
  </si>
  <si>
    <t xml:space="preserve">797 0102 00 00 13 0000 710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</si>
  <si>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</si>
  <si>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</si>
  <si>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поселений кредитов от кредитных организаций в валюте Российской Федерации</t>
  </si>
  <si>
    <t xml:space="preserve">797 0102 00 0013 0000 810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</si>
  <si>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</si>
  <si>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</si>
  <si>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</si>
  <si>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000 0103 01 00 00 0000 700   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</si>
  <si>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</si>
  <si>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 xml:space="preserve">797 0103 01 00 13 0000 710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</si>
  <si>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</si>
  <si>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</si>
  <si>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</si>
  <si>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797 0103 01 00 13 0000 810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</si>
  <si>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</si>
  <si>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</si>
  <si>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 бюджетов</t>
  </si>
  <si>
    <t>000 0105 00 00 00 0000 500</t>
  </si>
  <si>
    <t>Увеличение прочих остатков  денежных средств бюджетов</t>
  </si>
  <si>
    <t>000 0105 02 01 00 0000 510</t>
  </si>
  <si>
    <t>Увеличение прочих остатков денежных средств бюджетов поселений</t>
  </si>
  <si>
    <t>797 0105 02 01 10 0000 510</t>
  </si>
  <si>
    <t>Уменьшение остатков средств бюджетов</t>
  </si>
  <si>
    <t>000 0105 00 00 00 0000 600</t>
  </si>
  <si>
    <t>Уменьшение прочих остатков  денежных средств бюджетов</t>
  </si>
  <si>
    <t>000 0105 02 01 00 0000 610</t>
  </si>
  <si>
    <t>Уменьшение прочих остатков денежных средств бюджетов поселений</t>
  </si>
  <si>
    <t>797 0105 02 01 10 0000 610</t>
  </si>
  <si>
    <t>Приложение № 5</t>
  </si>
  <si>
    <t xml:space="preserve">     к Решению Совета депутатов</t>
  </si>
  <si>
    <t xml:space="preserve">     Сергиево-Посадского городского </t>
  </si>
  <si>
    <t xml:space="preserve">     округа Московской области</t>
  </si>
  <si>
    <t xml:space="preserve">Финансирование работ по ремонту подъездов  в рамках Государственной программы Московской области "Формирование современной комфортной городской среды" </t>
  </si>
  <si>
    <t>Постановление Главы городского поселения 
от 27.03.2019 №73</t>
  </si>
  <si>
    <t>Постановление Главы городского поселения 
от 15.04.2019 №88</t>
  </si>
  <si>
    <t>Постановление Главы городского поселения 
от 03.06.2019 №141</t>
  </si>
  <si>
    <t>Приложение №6</t>
  </si>
  <si>
    <t>Выполнение</t>
  </si>
  <si>
    <t>программы предоставления муниципальных гарантий</t>
  </si>
  <si>
    <t>Наименование принципала</t>
  </si>
  <si>
    <t>Цель гарантирования</t>
  </si>
  <si>
    <t>Наличие регрессного требования</t>
  </si>
  <si>
    <t>(тыс. руб.)</t>
  </si>
  <si>
    <t>1.</t>
  </si>
  <si>
    <t>Договоры поставки газа</t>
  </si>
  <si>
    <t>нет</t>
  </si>
  <si>
    <t>2.</t>
  </si>
  <si>
    <t>Итого общий объем муниципальных гарантий</t>
  </si>
  <si>
    <t>Сумма муниципальной гарантии  (тыс.руб.)</t>
  </si>
  <si>
    <t>Фактически погашено долговых обязательств  (тыс.руб.)</t>
  </si>
  <si>
    <t>программы муниципальных внутренних заимствований</t>
  </si>
  <si>
    <t xml:space="preserve">                        </t>
  </si>
  <si>
    <t>1. Привлечение заимствований в 2019 году</t>
  </si>
  <si>
    <t>Виды заимствования</t>
  </si>
  <si>
    <t xml:space="preserve"> (тыс. руб.)</t>
  </si>
  <si>
    <t>Срок действия</t>
  </si>
  <si>
    <t>Кредитные договоры и соглашения с кредитными организациями</t>
  </si>
  <si>
    <t>Бюджетные кредиты, полученные от других бюджетов бюджетной системы Российской Федерации</t>
  </si>
  <si>
    <t>Итого общий объем привлеченных средств в 2019 году</t>
  </si>
  <si>
    <t>2. Погашение заимствований в 2019 году.</t>
  </si>
  <si>
    <t>Объем погашения</t>
  </si>
  <si>
    <t>Фактически погашено</t>
  </si>
  <si>
    <t>Бюджетные кредиты, полученные из бюджетов бюджетной системы</t>
  </si>
  <si>
    <t>Итого общий объем погашенных долговых обязательств</t>
  </si>
  <si>
    <t>Объем привлечения средств в 2019 году (тыс.руб.)</t>
  </si>
  <si>
    <t>Фактически привлечено (тыс.руб.)</t>
  </si>
  <si>
    <t>городского поселения Краснозаводск за 2019 год</t>
  </si>
  <si>
    <t>ОТЧЕТ</t>
  </si>
  <si>
    <t xml:space="preserve">об использовании бюджетных ассигнований резервного фонда </t>
  </si>
  <si>
    <t xml:space="preserve">                                          </t>
  </si>
  <si>
    <t xml:space="preserve">                                           </t>
  </si>
  <si>
    <t>Основание</t>
  </si>
  <si>
    <t xml:space="preserve">администрации городского поселения Краснозаводск </t>
  </si>
  <si>
    <t xml:space="preserve">Сергиево-Посадского муниципального района </t>
  </si>
  <si>
    <t>один год</t>
  </si>
  <si>
    <t>МУП «Краснозаводская коммунальная компания»</t>
  </si>
  <si>
    <r>
      <t>в 2019 году</t>
    </r>
    <r>
      <rPr>
        <b/>
        <sz val="10"/>
        <rFont val="Times New Roman"/>
        <family val="1"/>
      </rPr>
      <t xml:space="preserve"> </t>
    </r>
  </si>
  <si>
    <t>Постановление Главы городского поселения 
от 19.06.2019 №152</t>
  </si>
  <si>
    <t>Постановление Главы городского поселения 
от 26.07.2019 №180</t>
  </si>
  <si>
    <t xml:space="preserve"> от  «___ » __________  202__г. №__</t>
  </si>
  <si>
    <r>
      <t xml:space="preserve">городским поселением Краснозаводск </t>
    </r>
    <r>
      <rPr>
        <sz val="10"/>
        <color indexed="8"/>
        <rFont val="Times New Roman"/>
        <family val="1"/>
      </rPr>
      <t>за 2019 год</t>
    </r>
  </si>
  <si>
    <t>Приложение № 8</t>
  </si>
  <si>
    <t xml:space="preserve">     от  «__ »_______  202__г. №____</t>
  </si>
  <si>
    <t>Утверждено (тыс.руб.)</t>
  </si>
  <si>
    <t>Исполнено (тыс.руб.)</t>
  </si>
  <si>
    <t>% исполнения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</si>
  <si>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поселений</t>
  </si>
  <si>
    <t xml:space="preserve">Возврат  остатков субсидий, субвенций и иных межбюджетных трансфертов, имеющих целевое назначение прошлых лет </t>
  </si>
  <si>
    <t>000 2 19 60010 13 0000 150</t>
  </si>
  <si>
    <t>Содержание постановления</t>
  </si>
  <si>
    <t>Исполнитель</t>
  </si>
  <si>
    <t xml:space="preserve">Сумма по постановлению </t>
  </si>
  <si>
    <t xml:space="preserve">Фактическое финансирование </t>
  </si>
  <si>
    <t>Остаток неиспользованных средств</t>
  </si>
  <si>
    <t xml:space="preserve">О выделении денежных средств из резервного фонда администрации  на финансирование работ по проведению изыскательских работ по выявлению повреждений электрического кабеля, расположенного в районе улицы Горького и Больничного переулка  </t>
  </si>
  <si>
    <t>Администрация городского поселения Краснозаводск</t>
  </si>
  <si>
    <r>
      <t>О выделении денежных средств из резервного фонда администрации на финансирование ремонтных работ по укреплению несущей стены</t>
    </r>
    <r>
      <rPr>
        <sz val="10"/>
        <color indexed="8"/>
        <rFont val="Times New Roman"/>
        <family val="1"/>
      </rPr>
      <t xml:space="preserve"> между подъездом и квартирой №7 многоквартирного жилого дома №7 по улице Трудовые резервы</t>
    </r>
  </si>
  <si>
    <t xml:space="preserve">О выделении денежных средств из резервного фонда администрации на финансированиена  работ по демонтажу дымовой трубы многоквартирного жилого дома №14 по улице Горького </t>
  </si>
  <si>
    <t>О выделении денежных средств из резервного фонда администрации на финансирование  работ по ремонту отмосток у домов №12, №14, №15, №19 по улице Строителей, домов №1, №2, №3, №4, №5, №6, №7, №8, №9 по улице 40 лет Победы, домов №5, №6, №7, №8, №9, №18, №19 деревни Семенково</t>
  </si>
  <si>
    <t xml:space="preserve">О выделении денежных средств из резервного фонда администрации на финансирование  работ по ремонту отмостки у дома №3 по улице 50 лет Октября </t>
  </si>
  <si>
    <t>Итого</t>
  </si>
  <si>
    <t>Всего резервный фонд</t>
  </si>
  <si>
    <t>Остаток резервного фонда</t>
  </si>
  <si>
    <t>тыс.руб.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</si>
</sst>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00"/>
    <numFmt numFmtId="176" formatCode="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00000"/>
    <numFmt numFmtId="184" formatCode="#,##0.0_ ;\-#,##0.0\ 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_р_."/>
    <numFmt numFmtId="196" formatCode="#,##0.0_р_."/>
    <numFmt numFmtId="197" formatCode="#,##0.00_р_."/>
    <numFmt numFmtId="198" formatCode="#,##0_ ;\-#,##0\ "/>
    <numFmt numFmtId="199" formatCode="#,##0.00_ ;[Red]\-#,##0.00_ "/>
    <numFmt numFmtId="200" formatCode="0.0%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&quot;р.&quot;"/>
    <numFmt numFmtId="210" formatCode="[$-FC19]d\ mmmm\ yyyy\ &quot;г.&quot;"/>
    <numFmt numFmtId="211" formatCode="[$-419]mmmm\ yyyy;@"/>
    <numFmt numFmtId="212" formatCode="0.00000"/>
    <numFmt numFmtId="213" formatCode="0.000000000"/>
    <numFmt numFmtId="214" formatCode="0.0000"/>
    <numFmt numFmtId="215" formatCode="0.000"/>
  </numFmts>
  <fonts count="38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 Cyr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19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4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wrapText="1"/>
    </xf>
    <xf numFmtId="0" fontId="35" fillId="0" borderId="0" xfId="142" applyFont="1" applyAlignment="1">
      <alignment horizontal="left" indent="15"/>
      <protection/>
    </xf>
    <xf numFmtId="0" fontId="35" fillId="0" borderId="0" xfId="142" applyFont="1" applyAlignment="1">
      <alignment horizontal="left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indent="2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justify" vertical="top" wrapText="1"/>
    </xf>
    <xf numFmtId="174" fontId="25" fillId="0" borderId="11" xfId="0" applyNumberFormat="1" applyFont="1" applyBorder="1" applyAlignment="1">
      <alignment horizontal="center" vertical="top" wrapText="1"/>
    </xf>
    <xf numFmtId="174" fontId="36" fillId="0" borderId="11" xfId="0" applyNumberFormat="1" applyFont="1" applyBorder="1" applyAlignment="1">
      <alignment horizontal="center" vertical="top" wrapText="1"/>
    </xf>
    <xf numFmtId="174" fontId="26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left" indent="15"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144" applyFont="1" applyFill="1" applyBorder="1" applyAlignment="1">
      <alignment vertical="top" wrapText="1"/>
      <protection/>
    </xf>
    <xf numFmtId="174" fontId="26" fillId="0" borderId="10" xfId="144" applyNumberFormat="1" applyFont="1" applyFill="1" applyBorder="1" applyAlignment="1">
      <alignment horizontal="right" wrapText="1"/>
      <protection/>
    </xf>
    <xf numFmtId="0" fontId="25" fillId="0" borderId="10" xfId="144" applyFont="1" applyFill="1" applyBorder="1" applyAlignment="1">
      <alignment vertical="top" wrapText="1"/>
      <protection/>
    </xf>
    <xf numFmtId="174" fontId="25" fillId="0" borderId="10" xfId="144" applyNumberFormat="1" applyFont="1" applyFill="1" applyBorder="1" applyAlignment="1">
      <alignment horizontal="right" wrapText="1"/>
      <protection/>
    </xf>
    <xf numFmtId="174" fontId="26" fillId="0" borderId="10" xfId="144" applyNumberFormat="1" applyFont="1" applyFill="1" applyBorder="1" applyAlignment="1">
      <alignment horizontal="right"/>
      <protection/>
    </xf>
    <xf numFmtId="174" fontId="25" fillId="0" borderId="10" xfId="144" applyNumberFormat="1" applyFont="1" applyFill="1" applyBorder="1" applyAlignment="1">
      <alignment horizontal="right"/>
      <protection/>
    </xf>
    <xf numFmtId="0" fontId="25" fillId="0" borderId="10" xfId="144" applyFont="1" applyFill="1" applyBorder="1" applyAlignment="1">
      <alignment horizontal="left" vertical="top" wrapText="1"/>
      <protection/>
    </xf>
    <xf numFmtId="0" fontId="25" fillId="0" borderId="10" xfId="0" applyNumberFormat="1" applyFont="1" applyFill="1" applyBorder="1" applyAlignment="1">
      <alignment horizontal="justify" vertical="center" wrapText="1"/>
    </xf>
    <xf numFmtId="174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justify" vertical="center" wrapText="1"/>
    </xf>
    <xf numFmtId="0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 wrapText="1"/>
    </xf>
    <xf numFmtId="175" fontId="25" fillId="0" borderId="0" xfId="0" applyNumberFormat="1" applyFont="1" applyFill="1" applyAlignment="1">
      <alignment/>
    </xf>
    <xf numFmtId="177" fontId="25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 horizontal="right" vertical="center"/>
    </xf>
    <xf numFmtId="0" fontId="27" fillId="0" borderId="1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right" vertical="center"/>
    </xf>
    <xf numFmtId="174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174" fontId="25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25" fillId="0" borderId="10" xfId="143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left" wrapText="1"/>
    </xf>
    <xf numFmtId="0" fontId="27" fillId="0" borderId="10" xfId="143" applyFont="1" applyFill="1" applyBorder="1" applyAlignment="1">
      <alignment vertical="top" wrapText="1"/>
      <protection/>
    </xf>
    <xf numFmtId="175" fontId="25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10" xfId="145" applyFont="1" applyFill="1" applyBorder="1" applyAlignment="1">
      <alignment horizontal="left" vertical="top" wrapText="1"/>
      <protection/>
    </xf>
    <xf numFmtId="0" fontId="28" fillId="0" borderId="10" xfId="0" applyFont="1" applyFill="1" applyBorder="1" applyAlignment="1">
      <alignment horizontal="left" vertical="center" wrapText="1"/>
    </xf>
    <xf numFmtId="174" fontId="28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wrapText="1"/>
    </xf>
    <xf numFmtId="49" fontId="27" fillId="0" borderId="10" xfId="143" applyNumberFormat="1" applyFont="1" applyFill="1" applyBorder="1" applyAlignment="1">
      <alignment horizontal="center" wrapText="1"/>
      <protection/>
    </xf>
    <xf numFmtId="49" fontId="27" fillId="0" borderId="10" xfId="143" applyNumberFormat="1" applyFont="1" applyFill="1" applyBorder="1" applyAlignment="1">
      <alignment horizontal="right" wrapText="1"/>
      <protection/>
    </xf>
    <xf numFmtId="174" fontId="27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174" fontId="28" fillId="0" borderId="10" xfId="0" applyNumberFormat="1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wrapText="1"/>
    </xf>
    <xf numFmtId="174" fontId="26" fillId="0" borderId="1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5" fillId="0" borderId="14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wrapText="1"/>
    </xf>
    <xf numFmtId="174" fontId="25" fillId="0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justify"/>
    </xf>
    <xf numFmtId="0" fontId="5" fillId="0" borderId="0" xfId="0" applyFont="1" applyAlignment="1">
      <alignment/>
    </xf>
    <xf numFmtId="174" fontId="25" fillId="0" borderId="11" xfId="97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Alignment="1">
      <alignment/>
    </xf>
    <xf numFmtId="0" fontId="25" fillId="0" borderId="11" xfId="0" applyFont="1" applyBorder="1" applyAlignment="1">
      <alignment wrapText="1"/>
    </xf>
    <xf numFmtId="0" fontId="25" fillId="0" borderId="10" xfId="0" applyFont="1" applyFill="1" applyBorder="1" applyAlignment="1">
      <alignment/>
    </xf>
    <xf numFmtId="174" fontId="26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/>
    </xf>
    <xf numFmtId="49" fontId="26" fillId="0" borderId="15" xfId="0" applyNumberFormat="1" applyFont="1" applyFill="1" applyBorder="1" applyAlignment="1">
      <alignment horizontal="left"/>
    </xf>
    <xf numFmtId="174" fontId="26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justify" wrapText="1"/>
    </xf>
    <xf numFmtId="174" fontId="25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justify" wrapText="1"/>
    </xf>
    <xf numFmtId="176" fontId="25" fillId="0" borderId="1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Alignment="1">
      <alignment horizontal="center"/>
    </xf>
    <xf numFmtId="174" fontId="25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justify"/>
    </xf>
    <xf numFmtId="49" fontId="25" fillId="0" borderId="0" xfId="0" applyNumberFormat="1" applyFont="1" applyFill="1" applyBorder="1" applyAlignment="1">
      <alignment horizontal="justify"/>
    </xf>
    <xf numFmtId="49" fontId="25" fillId="0" borderId="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74" fontId="25" fillId="0" borderId="16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74" fontId="25" fillId="0" borderId="12" xfId="0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74" fontId="26" fillId="0" borderId="19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wrapText="1"/>
    </xf>
    <xf numFmtId="174" fontId="28" fillId="0" borderId="12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49" fontId="25" fillId="0" borderId="0" xfId="0" applyNumberFormat="1" applyFont="1" applyFill="1" applyAlignment="1">
      <alignment/>
    </xf>
    <xf numFmtId="0" fontId="35" fillId="0" borderId="0" xfId="142" applyFont="1">
      <alignment/>
      <protection/>
    </xf>
    <xf numFmtId="0" fontId="35" fillId="0" borderId="11" xfId="142" applyFont="1" applyBorder="1" applyAlignment="1">
      <alignment horizontal="center" vertical="top" wrapText="1"/>
      <protection/>
    </xf>
    <xf numFmtId="0" fontId="35" fillId="0" borderId="11" xfId="142" applyFont="1" applyBorder="1" applyAlignment="1">
      <alignment vertical="top" wrapText="1"/>
      <protection/>
    </xf>
    <xf numFmtId="4" fontId="35" fillId="0" borderId="11" xfId="142" applyNumberFormat="1" applyFont="1" applyBorder="1" applyAlignment="1">
      <alignment horizontal="center" vertical="top" wrapText="1"/>
      <protection/>
    </xf>
    <xf numFmtId="0" fontId="25" fillId="0" borderId="0" xfId="146" applyFont="1" applyFill="1">
      <alignment/>
      <protection/>
    </xf>
    <xf numFmtId="215" fontId="25" fillId="0" borderId="0" xfId="146" applyNumberFormat="1" applyFont="1" applyFill="1">
      <alignment/>
      <protection/>
    </xf>
    <xf numFmtId="49" fontId="25" fillId="0" borderId="11" xfId="108" applyNumberFormat="1" applyFont="1" applyFill="1" applyBorder="1" applyAlignment="1">
      <alignment horizontal="center" vertical="center" wrapText="1"/>
      <protection/>
    </xf>
    <xf numFmtId="0" fontId="25" fillId="0" borderId="0" xfId="97" applyFont="1" applyFill="1">
      <alignment/>
      <protection/>
    </xf>
    <xf numFmtId="0" fontId="25" fillId="0" borderId="11" xfId="146" applyFont="1" applyFill="1" applyBorder="1">
      <alignment/>
      <protection/>
    </xf>
    <xf numFmtId="215" fontId="25" fillId="0" borderId="11" xfId="146" applyNumberFormat="1" applyFont="1" applyFill="1" applyBorder="1">
      <alignment/>
      <protection/>
    </xf>
    <xf numFmtId="200" fontId="28" fillId="0" borderId="0" xfId="0" applyNumberFormat="1" applyFont="1" applyFill="1" applyAlignment="1">
      <alignment/>
    </xf>
    <xf numFmtId="200" fontId="26" fillId="0" borderId="10" xfId="0" applyNumberFormat="1" applyFont="1" applyFill="1" applyBorder="1" applyAlignment="1">
      <alignment horizontal="right" vertical="center" wrapText="1"/>
    </xf>
    <xf numFmtId="174" fontId="26" fillId="0" borderId="14" xfId="0" applyNumberFormat="1" applyFont="1" applyFill="1" applyBorder="1" applyAlignment="1">
      <alignment horizontal="center" vertical="center" wrapText="1"/>
    </xf>
    <xf numFmtId="174" fontId="26" fillId="0" borderId="14" xfId="0" applyNumberFormat="1" applyFont="1" applyFill="1" applyBorder="1" applyAlignment="1">
      <alignment vertical="center"/>
    </xf>
    <xf numFmtId="174" fontId="27" fillId="0" borderId="14" xfId="0" applyNumberFormat="1" applyFont="1" applyFill="1" applyBorder="1" applyAlignment="1">
      <alignment vertical="center"/>
    </xf>
    <xf numFmtId="174" fontId="26" fillId="0" borderId="14" xfId="0" applyNumberFormat="1" applyFont="1" applyFill="1" applyBorder="1" applyAlignment="1">
      <alignment vertical="center" wrapText="1"/>
    </xf>
    <xf numFmtId="174" fontId="25" fillId="0" borderId="14" xfId="0" applyNumberFormat="1" applyFont="1" applyFill="1" applyBorder="1" applyAlignment="1">
      <alignment vertical="center" wrapText="1"/>
    </xf>
    <xf numFmtId="174" fontId="25" fillId="0" borderId="14" xfId="0" applyNumberFormat="1" applyFont="1" applyFill="1" applyBorder="1" applyAlignment="1">
      <alignment horizontal="right" vertical="center" wrapText="1"/>
    </xf>
    <xf numFmtId="174" fontId="26" fillId="0" borderId="14" xfId="0" applyNumberFormat="1" applyFont="1" applyFill="1" applyBorder="1" applyAlignment="1">
      <alignment horizontal="right" vertical="center" wrapText="1"/>
    </xf>
    <xf numFmtId="174" fontId="27" fillId="0" borderId="14" xfId="0" applyNumberFormat="1" applyFont="1" applyFill="1" applyBorder="1" applyAlignment="1">
      <alignment vertical="center" wrapText="1"/>
    </xf>
    <xf numFmtId="174" fontId="25" fillId="0" borderId="14" xfId="0" applyNumberFormat="1" applyFont="1" applyFill="1" applyBorder="1" applyAlignment="1">
      <alignment horizontal="right" vertical="center"/>
    </xf>
    <xf numFmtId="174" fontId="27" fillId="0" borderId="14" xfId="0" applyNumberFormat="1" applyFont="1" applyFill="1" applyBorder="1" applyAlignment="1">
      <alignment horizontal="right" vertical="center" wrapText="1"/>
    </xf>
    <xf numFmtId="174" fontId="28" fillId="0" borderId="14" xfId="0" applyNumberFormat="1" applyFont="1" applyFill="1" applyBorder="1" applyAlignment="1">
      <alignment vertical="center" wrapText="1"/>
    </xf>
    <xf numFmtId="174" fontId="26" fillId="0" borderId="14" xfId="0" applyNumberFormat="1" applyFont="1" applyFill="1" applyBorder="1" applyAlignment="1">
      <alignment/>
    </xf>
    <xf numFmtId="174" fontId="25" fillId="0" borderId="14" xfId="0" applyNumberFormat="1" applyFont="1" applyFill="1" applyBorder="1" applyAlignment="1">
      <alignment vertical="center"/>
    </xf>
    <xf numFmtId="174" fontId="26" fillId="0" borderId="14" xfId="0" applyNumberFormat="1" applyFont="1" applyFill="1" applyBorder="1" applyAlignment="1">
      <alignment wrapText="1"/>
    </xf>
    <xf numFmtId="174" fontId="26" fillId="0" borderId="11" xfId="0" applyNumberFormat="1" applyFont="1" applyFill="1" applyBorder="1" applyAlignment="1">
      <alignment horizontal="center" vertical="center" wrapText="1"/>
    </xf>
    <xf numFmtId="200" fontId="25" fillId="0" borderId="11" xfId="0" applyNumberFormat="1" applyFont="1" applyFill="1" applyBorder="1" applyAlignment="1">
      <alignment/>
    </xf>
    <xf numFmtId="174" fontId="25" fillId="0" borderId="20" xfId="0" applyNumberFormat="1" applyFont="1" applyFill="1" applyBorder="1" applyAlignment="1">
      <alignment horizontal="right" vertical="center" wrapText="1"/>
    </xf>
    <xf numFmtId="174" fontId="25" fillId="0" borderId="21" xfId="0" applyNumberFormat="1" applyFont="1" applyFill="1" applyBorder="1" applyAlignment="1">
      <alignment horizontal="right" vertical="center" wrapText="1"/>
    </xf>
    <xf numFmtId="174" fontId="26" fillId="0" borderId="22" xfId="0" applyNumberFormat="1" applyFont="1" applyFill="1" applyBorder="1" applyAlignment="1">
      <alignment horizontal="right" vertical="center" wrapText="1"/>
    </xf>
    <xf numFmtId="174" fontId="28" fillId="0" borderId="21" xfId="0" applyNumberFormat="1" applyFont="1" applyFill="1" applyBorder="1" applyAlignment="1">
      <alignment horizontal="right" vertical="center" wrapText="1"/>
    </xf>
    <xf numFmtId="174" fontId="26" fillId="0" borderId="14" xfId="0" applyNumberFormat="1" applyFont="1" applyFill="1" applyBorder="1" applyAlignment="1">
      <alignment/>
    </xf>
    <xf numFmtId="174" fontId="25" fillId="0" borderId="14" xfId="0" applyNumberFormat="1" applyFont="1" applyFill="1" applyBorder="1" applyAlignment="1">
      <alignment horizontal="right"/>
    </xf>
    <xf numFmtId="174" fontId="26" fillId="0" borderId="14" xfId="0" applyNumberFormat="1" applyFont="1" applyFill="1" applyBorder="1" applyAlignment="1">
      <alignment horizontal="right"/>
    </xf>
    <xf numFmtId="200" fontId="26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right" vertical="top" wrapText="1"/>
    </xf>
    <xf numFmtId="174" fontId="27" fillId="0" borderId="14" xfId="0" applyNumberFormat="1" applyFont="1" applyFill="1" applyBorder="1" applyAlignment="1">
      <alignment horizontal="right" vertical="center"/>
    </xf>
    <xf numFmtId="174" fontId="28" fillId="0" borderId="14" xfId="0" applyNumberFormat="1" applyFont="1" applyFill="1" applyBorder="1" applyAlignment="1">
      <alignment horizontal="right" vertical="center" wrapText="1"/>
    </xf>
    <xf numFmtId="174" fontId="26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top" wrapText="1"/>
    </xf>
    <xf numFmtId="0" fontId="31" fillId="0" borderId="11" xfId="0" applyFont="1" applyBorder="1" applyAlignment="1">
      <alignment horizontal="left" vertical="center" wrapText="1"/>
    </xf>
    <xf numFmtId="174" fontId="25" fillId="0" borderId="11" xfId="146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4" fontId="26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37" fillId="0" borderId="0" xfId="142" applyFont="1" applyAlignment="1">
      <alignment horizontal="center"/>
      <protection/>
    </xf>
    <xf numFmtId="0" fontId="25" fillId="0" borderId="11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3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</cellXfs>
  <cellStyles count="1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84" xfId="135"/>
    <cellStyle name="Обычный 85" xfId="136"/>
    <cellStyle name="Обычный 86" xfId="137"/>
    <cellStyle name="Обычный 87" xfId="138"/>
    <cellStyle name="Обычный 88" xfId="139"/>
    <cellStyle name="Обычный 89" xfId="140"/>
    <cellStyle name="Обычный 9" xfId="141"/>
    <cellStyle name="Обычный 90" xfId="142"/>
    <cellStyle name="Обычный_изменения март 2013" xfId="143"/>
    <cellStyle name="Обычный_Прилож. 1  доходы 2012" xfId="144"/>
    <cellStyle name="Обычный_приложения с комментмарт 2013" xfId="145"/>
    <cellStyle name="Обычный_резервный фонд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Хороший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4"/>
  <sheetViews>
    <sheetView view="pageBreakPreview" zoomScaleSheetLayoutView="100" zoomScalePageLayoutView="0" workbookViewId="0" topLeftCell="A1">
      <selection activeCell="B51" sqref="B51"/>
    </sheetView>
  </sheetViews>
  <sheetFormatPr defaultColWidth="23.125" defaultRowHeight="12.75"/>
  <cols>
    <col min="1" max="1" width="24.625" style="16" customWidth="1"/>
    <col min="2" max="2" width="27.75390625" style="19" customWidth="1"/>
    <col min="3" max="3" width="13.125" style="18" customWidth="1"/>
    <col min="4" max="4" width="12.75390625" style="110" customWidth="1"/>
    <col min="5" max="5" width="12.25390625" style="19" customWidth="1"/>
    <col min="6" max="6" width="23.00390625" style="19" customWidth="1"/>
    <col min="7" max="16384" width="23.125" style="19" customWidth="1"/>
  </cols>
  <sheetData>
    <row r="1" spans="2:4" ht="12.75">
      <c r="B1" s="17" t="s">
        <v>382</v>
      </c>
      <c r="D1" s="19"/>
    </row>
    <row r="2" spans="2:4" ht="12.75">
      <c r="B2" s="17" t="s">
        <v>505</v>
      </c>
      <c r="D2" s="19"/>
    </row>
    <row r="3" spans="2:4" ht="12.75">
      <c r="B3" s="17" t="s">
        <v>506</v>
      </c>
      <c r="D3" s="19"/>
    </row>
    <row r="4" spans="2:4" ht="12.75">
      <c r="B4" s="17" t="s">
        <v>507</v>
      </c>
      <c r="D4" s="19"/>
    </row>
    <row r="5" spans="2:4" ht="12.75">
      <c r="B5" s="17" t="s">
        <v>558</v>
      </c>
      <c r="D5" s="19"/>
    </row>
    <row r="6" spans="1:5" ht="36" customHeight="1">
      <c r="A6" s="204" t="s">
        <v>383</v>
      </c>
      <c r="B6" s="204"/>
      <c r="C6" s="204"/>
      <c r="D6" s="204"/>
      <c r="E6" s="204"/>
    </row>
    <row r="7" spans="2:4" ht="12.75">
      <c r="B7" s="20"/>
      <c r="D7" s="19"/>
    </row>
    <row r="8" spans="1:5" s="23" customFormat="1" ht="25.5">
      <c r="A8" s="21" t="s">
        <v>384</v>
      </c>
      <c r="B8" s="21" t="s">
        <v>2</v>
      </c>
      <c r="C8" s="22" t="s">
        <v>559</v>
      </c>
      <c r="D8" s="22" t="s">
        <v>560</v>
      </c>
      <c r="E8" s="22" t="s">
        <v>561</v>
      </c>
    </row>
    <row r="9" spans="1:5" s="23" customFormat="1" ht="25.5">
      <c r="A9" s="21"/>
      <c r="B9" s="24" t="s">
        <v>385</v>
      </c>
      <c r="C9" s="25">
        <f>C10+C24</f>
        <v>340785.53</v>
      </c>
      <c r="D9" s="25">
        <f>D10+D24</f>
        <v>185271.51399999997</v>
      </c>
      <c r="E9" s="169">
        <f>D9/C9</f>
        <v>0.5436601548193667</v>
      </c>
    </row>
    <row r="10" spans="1:5" s="23" customFormat="1" ht="12.75">
      <c r="A10" s="21" t="s">
        <v>386</v>
      </c>
      <c r="B10" s="26" t="s">
        <v>387</v>
      </c>
      <c r="C10" s="25">
        <f>C11+C12+C19+C22+C17</f>
        <v>151307.2</v>
      </c>
      <c r="D10" s="25">
        <f>D11+D12+D19+D22+D17</f>
        <v>147647.30399999997</v>
      </c>
      <c r="E10" s="169">
        <f aca="true" t="shared" si="0" ref="E10:E52">D10/C10</f>
        <v>0.9758114881512576</v>
      </c>
    </row>
    <row r="11" spans="1:5" ht="25.5">
      <c r="A11" s="27" t="s">
        <v>388</v>
      </c>
      <c r="B11" s="28" t="s">
        <v>389</v>
      </c>
      <c r="C11" s="25">
        <f>109160-3292</f>
        <v>105868</v>
      </c>
      <c r="D11" s="25">
        <v>112758.768</v>
      </c>
      <c r="E11" s="169">
        <f t="shared" si="0"/>
        <v>1.0650882986360373</v>
      </c>
    </row>
    <row r="12" spans="1:5" ht="63.75">
      <c r="A12" s="29" t="s">
        <v>390</v>
      </c>
      <c r="B12" s="30" t="s">
        <v>391</v>
      </c>
      <c r="C12" s="31">
        <f>C13+C14+C15+C16</f>
        <v>6277</v>
      </c>
      <c r="D12" s="31">
        <f>D13+D14+D15+D16</f>
        <v>6353.736999999999</v>
      </c>
      <c r="E12" s="169">
        <f t="shared" si="0"/>
        <v>1.0122251075354467</v>
      </c>
    </row>
    <row r="13" spans="1:5" ht="106.5" customHeight="1">
      <c r="A13" s="27" t="s">
        <v>392</v>
      </c>
      <c r="B13" s="32" t="s">
        <v>393</v>
      </c>
      <c r="C13" s="33">
        <v>2595</v>
      </c>
      <c r="D13" s="33">
        <v>2892.114</v>
      </c>
      <c r="E13" s="169">
        <f t="shared" si="0"/>
        <v>1.1144947976878612</v>
      </c>
    </row>
    <row r="14" spans="1:5" ht="146.25" customHeight="1">
      <c r="A14" s="27" t="s">
        <v>394</v>
      </c>
      <c r="B14" s="32" t="s">
        <v>395</v>
      </c>
      <c r="C14" s="33">
        <v>20</v>
      </c>
      <c r="D14" s="33">
        <v>21.258</v>
      </c>
      <c r="E14" s="169">
        <f t="shared" si="0"/>
        <v>1.0629</v>
      </c>
    </row>
    <row r="15" spans="1:5" ht="157.5" customHeight="1">
      <c r="A15" s="27" t="s">
        <v>396</v>
      </c>
      <c r="B15" s="32" t="s">
        <v>397</v>
      </c>
      <c r="C15" s="33">
        <v>4019</v>
      </c>
      <c r="D15" s="33">
        <v>3863.874</v>
      </c>
      <c r="E15" s="169">
        <f t="shared" si="0"/>
        <v>0.9614018412540433</v>
      </c>
    </row>
    <row r="16" spans="1:5" ht="145.5" customHeight="1">
      <c r="A16" s="27" t="s">
        <v>398</v>
      </c>
      <c r="B16" s="32" t="s">
        <v>399</v>
      </c>
      <c r="C16" s="33">
        <v>-357</v>
      </c>
      <c r="D16" s="33">
        <v>-423.509</v>
      </c>
      <c r="E16" s="169">
        <f t="shared" si="0"/>
        <v>1.1862997198879552</v>
      </c>
    </row>
    <row r="17" spans="1:5" ht="29.25" customHeight="1">
      <c r="A17" s="27" t="s">
        <v>400</v>
      </c>
      <c r="B17" s="30" t="s">
        <v>401</v>
      </c>
      <c r="C17" s="33">
        <f>C18</f>
        <v>9.2</v>
      </c>
      <c r="D17" s="33">
        <f>D18</f>
        <v>9.985</v>
      </c>
      <c r="E17" s="169">
        <f t="shared" si="0"/>
        <v>1.0853260869565218</v>
      </c>
    </row>
    <row r="18" spans="1:5" ht="26.25" customHeight="1">
      <c r="A18" s="27" t="s">
        <v>402</v>
      </c>
      <c r="B18" s="32" t="s">
        <v>403</v>
      </c>
      <c r="C18" s="33">
        <v>9.2</v>
      </c>
      <c r="D18" s="33">
        <v>9.985</v>
      </c>
      <c r="E18" s="169">
        <f t="shared" si="0"/>
        <v>1.0853260869565218</v>
      </c>
    </row>
    <row r="19" spans="1:5" ht="12.75">
      <c r="A19" s="29" t="s">
        <v>404</v>
      </c>
      <c r="B19" s="30" t="s">
        <v>405</v>
      </c>
      <c r="C19" s="34">
        <f>C20+C21</f>
        <v>39153</v>
      </c>
      <c r="D19" s="34">
        <f>D20+D21</f>
        <v>28524.814</v>
      </c>
      <c r="E19" s="169">
        <f t="shared" si="0"/>
        <v>0.7285473399228667</v>
      </c>
    </row>
    <row r="20" spans="1:5" ht="78" customHeight="1">
      <c r="A20" s="27" t="s">
        <v>406</v>
      </c>
      <c r="B20" s="32" t="s">
        <v>407</v>
      </c>
      <c r="C20" s="35">
        <v>3856</v>
      </c>
      <c r="D20" s="35">
        <v>3592.031</v>
      </c>
      <c r="E20" s="169">
        <f t="shared" si="0"/>
        <v>0.9315433091286307</v>
      </c>
    </row>
    <row r="21" spans="1:5" ht="12.75">
      <c r="A21" s="27" t="s">
        <v>408</v>
      </c>
      <c r="B21" s="32" t="s">
        <v>409</v>
      </c>
      <c r="C21" s="35">
        <v>35297</v>
      </c>
      <c r="D21" s="35">
        <v>24932.783</v>
      </c>
      <c r="E21" s="169">
        <f t="shared" si="0"/>
        <v>0.7063711646882171</v>
      </c>
    </row>
    <row r="22" spans="1:5" ht="76.5" hidden="1">
      <c r="A22" s="29" t="s">
        <v>410</v>
      </c>
      <c r="B22" s="30" t="s">
        <v>411</v>
      </c>
      <c r="C22" s="34">
        <f>C23</f>
        <v>0</v>
      </c>
      <c r="D22" s="34">
        <f>D23</f>
        <v>0</v>
      </c>
      <c r="E22" s="169" t="e">
        <f t="shared" si="0"/>
        <v>#DIV/0!</v>
      </c>
    </row>
    <row r="23" spans="1:5" ht="63.75" hidden="1">
      <c r="A23" s="27" t="s">
        <v>412</v>
      </c>
      <c r="B23" s="36" t="s">
        <v>413</v>
      </c>
      <c r="C23" s="35">
        <v>0</v>
      </c>
      <c r="D23" s="35">
        <v>0</v>
      </c>
      <c r="E23" s="169" t="e">
        <f t="shared" si="0"/>
        <v>#DIV/0!</v>
      </c>
    </row>
    <row r="24" spans="1:5" ht="12.75">
      <c r="A24" s="27"/>
      <c r="B24" s="26" t="s">
        <v>414</v>
      </c>
      <c r="C24" s="15">
        <f>C25+C30+C35+C36</f>
        <v>189478.33</v>
      </c>
      <c r="D24" s="15">
        <f>D25+D30+D35+D36</f>
        <v>37624.20999999999</v>
      </c>
      <c r="E24" s="169">
        <f t="shared" si="0"/>
        <v>0.19856735068332085</v>
      </c>
    </row>
    <row r="25" spans="1:5" ht="89.25">
      <c r="A25" s="29" t="s">
        <v>415</v>
      </c>
      <c r="B25" s="26" t="s">
        <v>416</v>
      </c>
      <c r="C25" s="15">
        <f>SUM(C26:C29)</f>
        <v>30361.5</v>
      </c>
      <c r="D25" s="15">
        <f>SUM(D26:D29)</f>
        <v>30379.381999999998</v>
      </c>
      <c r="E25" s="169">
        <f t="shared" si="0"/>
        <v>1.000588969583189</v>
      </c>
    </row>
    <row r="26" spans="1:5" ht="135.75" customHeight="1">
      <c r="A26" s="27" t="s">
        <v>417</v>
      </c>
      <c r="B26" s="37" t="s">
        <v>418</v>
      </c>
      <c r="C26" s="38">
        <f>24078+1000</f>
        <v>25078</v>
      </c>
      <c r="D26" s="38">
        <v>24965.516</v>
      </c>
      <c r="E26" s="169">
        <f t="shared" si="0"/>
        <v>0.9955146343408565</v>
      </c>
    </row>
    <row r="27" spans="1:5" ht="117.75" customHeight="1">
      <c r="A27" s="27" t="s">
        <v>419</v>
      </c>
      <c r="B27" s="37" t="s">
        <v>420</v>
      </c>
      <c r="C27" s="38">
        <v>0</v>
      </c>
      <c r="D27" s="38">
        <v>24.85</v>
      </c>
      <c r="E27" s="169"/>
    </row>
    <row r="28" spans="1:5" ht="54" customHeight="1">
      <c r="A28" s="27" t="s">
        <v>421</v>
      </c>
      <c r="B28" s="36" t="s">
        <v>422</v>
      </c>
      <c r="C28" s="38">
        <f>4064-1500+120+500+1800</f>
        <v>4984</v>
      </c>
      <c r="D28" s="38">
        <v>5089.816</v>
      </c>
      <c r="E28" s="169">
        <f t="shared" si="0"/>
        <v>1.0212311396468698</v>
      </c>
    </row>
    <row r="29" spans="1:5" ht="51" customHeight="1">
      <c r="A29" s="27" t="s">
        <v>423</v>
      </c>
      <c r="B29" s="36" t="s">
        <v>424</v>
      </c>
      <c r="C29" s="38">
        <f>2375+831-2907+0.5</f>
        <v>299.5</v>
      </c>
      <c r="D29" s="38">
        <v>299.2</v>
      </c>
      <c r="E29" s="169">
        <f t="shared" si="0"/>
        <v>0.9989983305509181</v>
      </c>
    </row>
    <row r="30" spans="1:5" ht="51">
      <c r="A30" s="29" t="s">
        <v>425</v>
      </c>
      <c r="B30" s="26" t="s">
        <v>426</v>
      </c>
      <c r="C30" s="15">
        <f>SUM(C31:C34)</f>
        <v>158671.83</v>
      </c>
      <c r="D30" s="15">
        <f>SUM(D31:D34)</f>
        <v>6808.628</v>
      </c>
      <c r="E30" s="169">
        <f t="shared" si="0"/>
        <v>0.042910124626406594</v>
      </c>
    </row>
    <row r="31" spans="1:5" ht="160.5" customHeight="1">
      <c r="A31" s="27" t="s">
        <v>427</v>
      </c>
      <c r="B31" s="36" t="s">
        <v>428</v>
      </c>
      <c r="C31" s="38">
        <f>26656-37+4221+133.6-19+8645.4-6926-2500+3245.8+1513.9-673.4+1727.1+415.18+546.75+6628.2+15500+1800+100000-4442.7</f>
        <v>156434.83</v>
      </c>
      <c r="D31" s="38">
        <v>4548.566</v>
      </c>
      <c r="E31" s="169">
        <f t="shared" si="0"/>
        <v>0.02907642754493996</v>
      </c>
    </row>
    <row r="32" spans="1:5" ht="82.5" customHeight="1">
      <c r="A32" s="27" t="s">
        <v>429</v>
      </c>
      <c r="B32" s="194" t="s">
        <v>430</v>
      </c>
      <c r="C32" s="38">
        <f>49+430</f>
        <v>479</v>
      </c>
      <c r="D32" s="38">
        <v>466.49</v>
      </c>
      <c r="E32" s="169">
        <f t="shared" si="0"/>
        <v>0.9738830897703549</v>
      </c>
    </row>
    <row r="33" spans="1:5" ht="97.5" customHeight="1">
      <c r="A33" s="39" t="s">
        <v>431</v>
      </c>
      <c r="B33" s="40" t="s">
        <v>432</v>
      </c>
      <c r="C33" s="38">
        <v>886.8</v>
      </c>
      <c r="D33" s="38">
        <v>842.468</v>
      </c>
      <c r="E33" s="169">
        <f t="shared" si="0"/>
        <v>0.9500090211998196</v>
      </c>
    </row>
    <row r="34" spans="1:5" ht="131.25" customHeight="1">
      <c r="A34" s="39" t="s">
        <v>433</v>
      </c>
      <c r="B34" s="40" t="s">
        <v>434</v>
      </c>
      <c r="C34" s="38">
        <v>871.2</v>
      </c>
      <c r="D34" s="38">
        <v>951.104</v>
      </c>
      <c r="E34" s="169">
        <f t="shared" si="0"/>
        <v>1.0917171717171716</v>
      </c>
    </row>
    <row r="35" spans="1:5" ht="33.75" customHeight="1">
      <c r="A35" s="41" t="s">
        <v>435</v>
      </c>
      <c r="B35" s="42" t="s">
        <v>436</v>
      </c>
      <c r="C35" s="38">
        <v>125</v>
      </c>
      <c r="D35" s="38">
        <v>125</v>
      </c>
      <c r="E35" s="169">
        <f t="shared" si="0"/>
        <v>1</v>
      </c>
    </row>
    <row r="36" spans="1:5" ht="31.5" customHeight="1">
      <c r="A36" s="41" t="s">
        <v>437</v>
      </c>
      <c r="B36" s="42" t="s">
        <v>438</v>
      </c>
      <c r="C36" s="38">
        <v>320</v>
      </c>
      <c r="D36" s="38">
        <v>311.2</v>
      </c>
      <c r="E36" s="169">
        <f t="shared" si="0"/>
        <v>0.9724999999999999</v>
      </c>
    </row>
    <row r="37" spans="1:5" s="44" customFormat="1" ht="63.75">
      <c r="A37" s="29" t="s">
        <v>439</v>
      </c>
      <c r="B37" s="43" t="s">
        <v>440</v>
      </c>
      <c r="C37" s="15">
        <f>C38+C40+C46+C48</f>
        <v>124064.23</v>
      </c>
      <c r="D37" s="15">
        <f>D38+D40+D46+D48++++++++++D50</f>
        <v>104072.04374000001</v>
      </c>
      <c r="E37" s="169">
        <f t="shared" si="0"/>
        <v>0.8388561613609339</v>
      </c>
    </row>
    <row r="38" spans="1:5" s="44" customFormat="1" ht="38.25">
      <c r="A38" s="29" t="s">
        <v>441</v>
      </c>
      <c r="B38" s="43" t="s">
        <v>442</v>
      </c>
      <c r="C38" s="15">
        <f>C39</f>
        <v>3683</v>
      </c>
      <c r="D38" s="15">
        <f>D39</f>
        <v>3683</v>
      </c>
      <c r="E38" s="169">
        <f t="shared" si="0"/>
        <v>1</v>
      </c>
    </row>
    <row r="39" spans="1:5" ht="40.5" customHeight="1">
      <c r="A39" s="27" t="s">
        <v>443</v>
      </c>
      <c r="B39" s="45" t="s">
        <v>444</v>
      </c>
      <c r="C39" s="38">
        <f>391+3292</f>
        <v>3683</v>
      </c>
      <c r="D39" s="38">
        <f>391+3292</f>
        <v>3683</v>
      </c>
      <c r="E39" s="169">
        <f t="shared" si="0"/>
        <v>1</v>
      </c>
    </row>
    <row r="40" spans="1:5" ht="40.5" customHeight="1">
      <c r="A40" s="29" t="s">
        <v>445</v>
      </c>
      <c r="B40" s="43" t="s">
        <v>446</v>
      </c>
      <c r="C40" s="15">
        <f>SUM(C41:C45)</f>
        <v>109333.23</v>
      </c>
      <c r="D40" s="15">
        <f>SUM(D41:D45)</f>
        <v>89683.861</v>
      </c>
      <c r="E40" s="169">
        <f t="shared" si="0"/>
        <v>0.820279991728041</v>
      </c>
    </row>
    <row r="41" spans="1:5" ht="143.25" customHeight="1">
      <c r="A41" s="39" t="s">
        <v>447</v>
      </c>
      <c r="B41" s="46" t="s">
        <v>448</v>
      </c>
      <c r="C41" s="38">
        <f>11410+2759.1+2962.49-342</f>
        <v>16789.59</v>
      </c>
      <c r="D41" s="38">
        <v>16599.975</v>
      </c>
      <c r="E41" s="169">
        <f t="shared" si="0"/>
        <v>0.9887063948553835</v>
      </c>
    </row>
    <row r="42" spans="1:5" ht="147" customHeight="1">
      <c r="A42" s="27" t="s">
        <v>449</v>
      </c>
      <c r="B42" s="37" t="s">
        <v>450</v>
      </c>
      <c r="C42" s="38">
        <v>32180.12</v>
      </c>
      <c r="D42" s="38">
        <v>13700.623</v>
      </c>
      <c r="E42" s="169">
        <f t="shared" si="0"/>
        <v>0.42574803947281736</v>
      </c>
    </row>
    <row r="43" spans="1:5" ht="72" customHeight="1">
      <c r="A43" s="47" t="s">
        <v>451</v>
      </c>
      <c r="B43" s="37" t="s">
        <v>452</v>
      </c>
      <c r="C43" s="38">
        <f>53333.3+0.1</f>
        <v>53333.4</v>
      </c>
      <c r="D43" s="38">
        <v>52684.883</v>
      </c>
      <c r="E43" s="169">
        <f t="shared" si="0"/>
        <v>0.9878403214495982</v>
      </c>
    </row>
    <row r="44" spans="1:5" ht="37.5" customHeight="1" hidden="1">
      <c r="A44" s="47" t="s">
        <v>453</v>
      </c>
      <c r="B44" s="37" t="s">
        <v>454</v>
      </c>
      <c r="C44" s="38">
        <v>0</v>
      </c>
      <c r="D44" s="38">
        <v>0</v>
      </c>
      <c r="E44" s="169" t="e">
        <f t="shared" si="0"/>
        <v>#DIV/0!</v>
      </c>
    </row>
    <row r="45" spans="1:5" ht="30.75" customHeight="1">
      <c r="A45" s="39" t="s">
        <v>455</v>
      </c>
      <c r="B45" s="40" t="s">
        <v>456</v>
      </c>
      <c r="C45" s="38">
        <f>214+295.76+6513.83+5673.79-5673.79+77.89-71.36</f>
        <v>7030.120000000002</v>
      </c>
      <c r="D45" s="38">
        <v>6698.38</v>
      </c>
      <c r="E45" s="169">
        <f t="shared" si="0"/>
        <v>0.9528116163024242</v>
      </c>
    </row>
    <row r="46" spans="1:5" ht="45" customHeight="1">
      <c r="A46" s="48" t="s">
        <v>457</v>
      </c>
      <c r="B46" s="26" t="s">
        <v>458</v>
      </c>
      <c r="C46" s="15">
        <f>C47</f>
        <v>948</v>
      </c>
      <c r="D46" s="15">
        <f>D47</f>
        <v>711</v>
      </c>
      <c r="E46" s="169">
        <f t="shared" si="0"/>
        <v>0.75</v>
      </c>
    </row>
    <row r="47" spans="1:5" ht="75" customHeight="1">
      <c r="A47" s="48" t="s">
        <v>459</v>
      </c>
      <c r="B47" s="28" t="s">
        <v>460</v>
      </c>
      <c r="C47" s="38">
        <v>948</v>
      </c>
      <c r="D47" s="38">
        <v>711</v>
      </c>
      <c r="E47" s="169">
        <f t="shared" si="0"/>
        <v>0.75</v>
      </c>
    </row>
    <row r="48" spans="1:5" ht="34.5" customHeight="1">
      <c r="A48" s="48" t="s">
        <v>461</v>
      </c>
      <c r="B48" s="49" t="s">
        <v>462</v>
      </c>
      <c r="C48" s="15">
        <f>C49</f>
        <v>10100</v>
      </c>
      <c r="D48" s="15">
        <f>D49</f>
        <v>10100</v>
      </c>
      <c r="E48" s="169">
        <f t="shared" si="0"/>
        <v>1</v>
      </c>
    </row>
    <row r="49" spans="1:5" ht="49.5" customHeight="1">
      <c r="A49" s="48" t="s">
        <v>463</v>
      </c>
      <c r="B49" s="28" t="s">
        <v>464</v>
      </c>
      <c r="C49" s="38">
        <v>10100</v>
      </c>
      <c r="D49" s="38">
        <v>10100</v>
      </c>
      <c r="E49" s="169">
        <f t="shared" si="0"/>
        <v>1</v>
      </c>
    </row>
    <row r="50" spans="1:5" ht="63" customHeight="1">
      <c r="A50" s="48" t="s">
        <v>564</v>
      </c>
      <c r="B50" s="26" t="s">
        <v>563</v>
      </c>
      <c r="C50" s="15"/>
      <c r="D50" s="15">
        <f>D51</f>
        <v>-105.81726</v>
      </c>
      <c r="E50" s="169"/>
    </row>
    <row r="51" spans="1:5" ht="78" customHeight="1">
      <c r="A51" s="48" t="s">
        <v>564</v>
      </c>
      <c r="B51" s="195" t="s">
        <v>562</v>
      </c>
      <c r="C51" s="38"/>
      <c r="D51" s="38">
        <v>-105.81726</v>
      </c>
      <c r="E51" s="169"/>
    </row>
    <row r="52" spans="1:5" ht="24" customHeight="1">
      <c r="A52" s="50"/>
      <c r="B52" s="26" t="s">
        <v>465</v>
      </c>
      <c r="C52" s="15">
        <f>C24+C10+C37</f>
        <v>464849.76</v>
      </c>
      <c r="D52" s="15">
        <f>D24+D10+D37</f>
        <v>289343.55773999996</v>
      </c>
      <c r="E52" s="169">
        <f t="shared" si="0"/>
        <v>0.622445320268639</v>
      </c>
    </row>
    <row r="53" spans="1:4" ht="12.75">
      <c r="A53" s="51"/>
      <c r="B53" s="52"/>
      <c r="D53" s="19"/>
    </row>
    <row r="54" spans="1:4" ht="15" customHeight="1">
      <c r="A54" s="203"/>
      <c r="B54" s="203"/>
      <c r="D54" s="19"/>
    </row>
  </sheetData>
  <sheetProtection selectLockedCells="1" selectUnlockedCells="1"/>
  <mergeCells count="2">
    <mergeCell ref="A54:B54"/>
    <mergeCell ref="A6:E6"/>
  </mergeCells>
  <printOptions/>
  <pageMargins left="1.3779527559055118" right="0.3937007874015748" top="0.7874015748031497" bottom="0.7874015748031497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03"/>
  <sheetViews>
    <sheetView tabSelected="1" view="pageBreakPreview" zoomScaleSheetLayoutView="100" zoomScalePageLayoutView="0" workbookViewId="0" topLeftCell="A1">
      <selection activeCell="K298" sqref="K298"/>
    </sheetView>
  </sheetViews>
  <sheetFormatPr defaultColWidth="9.00390625" defaultRowHeight="12.75"/>
  <cols>
    <col min="1" max="1" width="46.625" style="19" customWidth="1"/>
    <col min="2" max="2" width="7.125" style="55" customWidth="1"/>
    <col min="3" max="3" width="16.375" style="55" customWidth="1"/>
    <col min="4" max="4" width="5.875" style="55" customWidth="1"/>
    <col min="5" max="5" width="14.625" style="59" customWidth="1"/>
    <col min="6" max="6" width="10.875" style="18" customWidth="1"/>
    <col min="7" max="7" width="10.25390625" style="58" customWidth="1"/>
    <col min="8" max="8" width="12.125" style="19" customWidth="1"/>
    <col min="9" max="9" width="15.00390625" style="19" customWidth="1"/>
    <col min="10" max="10" width="9.625" style="19" customWidth="1"/>
    <col min="11" max="11" width="9.875" style="19" customWidth="1"/>
    <col min="12" max="14" width="10.125" style="19" customWidth="1"/>
    <col min="15" max="16384" width="9.125" style="19" customWidth="1"/>
  </cols>
  <sheetData>
    <row r="1" spans="2:5" ht="12.75">
      <c r="B1" s="54" t="s">
        <v>3</v>
      </c>
      <c r="D1" s="56"/>
      <c r="E1" s="57"/>
    </row>
    <row r="2" spans="2:5" ht="12.75">
      <c r="B2" s="54" t="s">
        <v>377</v>
      </c>
      <c r="D2" s="56"/>
      <c r="E2" s="57"/>
    </row>
    <row r="3" spans="2:5" ht="12.75">
      <c r="B3" s="54" t="s">
        <v>378</v>
      </c>
      <c r="D3" s="56"/>
      <c r="E3" s="57"/>
    </row>
    <row r="4" spans="2:5" ht="12.75">
      <c r="B4" s="54" t="s">
        <v>379</v>
      </c>
      <c r="E4" s="57"/>
    </row>
    <row r="5" spans="2:5" ht="15" customHeight="1">
      <c r="B5" s="54" t="s">
        <v>555</v>
      </c>
      <c r="D5" s="56"/>
      <c r="E5" s="57"/>
    </row>
    <row r="6" spans="2:5" ht="12.75" hidden="1">
      <c r="B6" s="54"/>
      <c r="D6" s="56"/>
      <c r="E6" s="57"/>
    </row>
    <row r="7" spans="2:5" ht="12.75">
      <c r="B7" s="54"/>
      <c r="D7" s="56"/>
      <c r="E7" s="57"/>
    </row>
    <row r="8" spans="1:5" ht="52.5" customHeight="1">
      <c r="A8" s="207" t="s">
        <v>4</v>
      </c>
      <c r="B8" s="207"/>
      <c r="C8" s="207"/>
      <c r="D8" s="207"/>
      <c r="E8" s="207"/>
    </row>
    <row r="9" ht="12.75">
      <c r="E9" s="59" t="s">
        <v>5</v>
      </c>
    </row>
    <row r="10" spans="1:7" s="20" customFormat="1" ht="15" customHeight="1">
      <c r="A10" s="208" t="s">
        <v>6</v>
      </c>
      <c r="B10" s="208" t="s">
        <v>7</v>
      </c>
      <c r="C10" s="208"/>
      <c r="D10" s="208"/>
      <c r="E10" s="205" t="s">
        <v>559</v>
      </c>
      <c r="F10" s="205" t="s">
        <v>560</v>
      </c>
      <c r="G10" s="205" t="s">
        <v>561</v>
      </c>
    </row>
    <row r="11" spans="1:7" s="20" customFormat="1" ht="27" customHeight="1">
      <c r="A11" s="208"/>
      <c r="B11" s="47" t="s">
        <v>8</v>
      </c>
      <c r="C11" s="47" t="s">
        <v>9</v>
      </c>
      <c r="D11" s="47" t="s">
        <v>10</v>
      </c>
      <c r="E11" s="206"/>
      <c r="F11" s="206" t="s">
        <v>560</v>
      </c>
      <c r="G11" s="209" t="s">
        <v>561</v>
      </c>
    </row>
    <row r="12" spans="1:8" s="64" customFormat="1" ht="13.5">
      <c r="A12" s="60" t="s">
        <v>11</v>
      </c>
      <c r="B12" s="61" t="s">
        <v>12</v>
      </c>
      <c r="C12" s="62"/>
      <c r="D12" s="62"/>
      <c r="E12" s="63">
        <f>E13+E18+E32+E48+E62+E58+E72</f>
        <v>62169.96226</v>
      </c>
      <c r="F12" s="197">
        <f>F13+F18+F32+F48+F62+F58+F72</f>
        <v>41290.4938766</v>
      </c>
      <c r="G12" s="185">
        <f>F12/E12</f>
        <v>0.6641550416890988</v>
      </c>
      <c r="H12" s="168"/>
    </row>
    <row r="13" spans="1:8" s="66" customFormat="1" ht="40.5">
      <c r="A13" s="60" t="s">
        <v>13</v>
      </c>
      <c r="B13" s="65" t="s">
        <v>14</v>
      </c>
      <c r="C13" s="61"/>
      <c r="D13" s="61"/>
      <c r="E13" s="25">
        <f>E14</f>
        <v>1801</v>
      </c>
      <c r="F13" s="176">
        <f>F14</f>
        <v>1388.783</v>
      </c>
      <c r="G13" s="185">
        <f aca="true" t="shared" si="0" ref="G13:G76">F13/E13</f>
        <v>0.77111771238201</v>
      </c>
      <c r="H13" s="168"/>
    </row>
    <row r="14" spans="1:8" s="20" customFormat="1" ht="38.25">
      <c r="A14" s="67" t="s">
        <v>15</v>
      </c>
      <c r="B14" s="68" t="s">
        <v>14</v>
      </c>
      <c r="C14" s="68" t="s">
        <v>16</v>
      </c>
      <c r="D14" s="68"/>
      <c r="E14" s="69">
        <f>E15</f>
        <v>1801</v>
      </c>
      <c r="F14" s="175">
        <f>F15</f>
        <v>1388.783</v>
      </c>
      <c r="G14" s="185">
        <f t="shared" si="0"/>
        <v>0.77111771238201</v>
      </c>
      <c r="H14" s="168"/>
    </row>
    <row r="15" spans="1:8" s="20" customFormat="1" ht="12.75">
      <c r="A15" s="67" t="s">
        <v>17</v>
      </c>
      <c r="B15" s="68" t="s">
        <v>14</v>
      </c>
      <c r="C15" s="68" t="s">
        <v>18</v>
      </c>
      <c r="D15" s="68"/>
      <c r="E15" s="69">
        <f>E17</f>
        <v>1801</v>
      </c>
      <c r="F15" s="175">
        <f>F17</f>
        <v>1388.783</v>
      </c>
      <c r="G15" s="185">
        <f t="shared" si="0"/>
        <v>0.77111771238201</v>
      </c>
      <c r="H15" s="168"/>
    </row>
    <row r="16" spans="1:8" s="20" customFormat="1" ht="63.75">
      <c r="A16" s="67" t="s">
        <v>19</v>
      </c>
      <c r="B16" s="68" t="s">
        <v>14</v>
      </c>
      <c r="C16" s="68" t="s">
        <v>18</v>
      </c>
      <c r="D16" s="68" t="s">
        <v>20</v>
      </c>
      <c r="E16" s="69">
        <f>E17</f>
        <v>1801</v>
      </c>
      <c r="F16" s="175">
        <f>F17</f>
        <v>1388.783</v>
      </c>
      <c r="G16" s="185">
        <f t="shared" si="0"/>
        <v>0.77111771238201</v>
      </c>
      <c r="H16" s="168"/>
    </row>
    <row r="17" spans="1:8" s="20" customFormat="1" ht="25.5">
      <c r="A17" s="67" t="s">
        <v>21</v>
      </c>
      <c r="B17" s="68" t="s">
        <v>14</v>
      </c>
      <c r="C17" s="68" t="s">
        <v>18</v>
      </c>
      <c r="D17" s="68" t="s">
        <v>22</v>
      </c>
      <c r="E17" s="69">
        <f>1364+437</f>
        <v>1801</v>
      </c>
      <c r="F17" s="175">
        <v>1388.783</v>
      </c>
      <c r="G17" s="185">
        <f t="shared" si="0"/>
        <v>0.77111771238201</v>
      </c>
      <c r="H17" s="168"/>
    </row>
    <row r="18" spans="1:8" s="20" customFormat="1" ht="54">
      <c r="A18" s="60" t="s">
        <v>23</v>
      </c>
      <c r="B18" s="65" t="s">
        <v>24</v>
      </c>
      <c r="C18" s="61"/>
      <c r="D18" s="61"/>
      <c r="E18" s="25">
        <f>E19</f>
        <v>5132</v>
      </c>
      <c r="F18" s="176">
        <f>F19</f>
        <v>3988.9442299999996</v>
      </c>
      <c r="G18" s="185">
        <f t="shared" si="0"/>
        <v>0.7772689458300857</v>
      </c>
      <c r="H18" s="168"/>
    </row>
    <row r="19" spans="1:8" s="20" customFormat="1" ht="38.25">
      <c r="A19" s="67" t="s">
        <v>15</v>
      </c>
      <c r="B19" s="68" t="s">
        <v>24</v>
      </c>
      <c r="C19" s="68" t="s">
        <v>16</v>
      </c>
      <c r="D19" s="68"/>
      <c r="E19" s="38">
        <f>E20+E23</f>
        <v>5132</v>
      </c>
      <c r="F19" s="178">
        <f>F20+F23</f>
        <v>3988.9442299999996</v>
      </c>
      <c r="G19" s="185">
        <f t="shared" si="0"/>
        <v>0.7772689458300857</v>
      </c>
      <c r="H19" s="168"/>
    </row>
    <row r="20" spans="1:8" s="20" customFormat="1" ht="25.5">
      <c r="A20" s="70" t="s">
        <v>25</v>
      </c>
      <c r="B20" s="68" t="s">
        <v>24</v>
      </c>
      <c r="C20" s="68" t="s">
        <v>26</v>
      </c>
      <c r="D20" s="68"/>
      <c r="E20" s="38">
        <f>E22</f>
        <v>1871</v>
      </c>
      <c r="F20" s="178">
        <f>F22</f>
        <v>1592.404</v>
      </c>
      <c r="G20" s="185">
        <f t="shared" si="0"/>
        <v>0.8510978086584714</v>
      </c>
      <c r="H20" s="168"/>
    </row>
    <row r="21" spans="1:8" s="20" customFormat="1" ht="63.75">
      <c r="A21" s="67" t="s">
        <v>19</v>
      </c>
      <c r="B21" s="68" t="s">
        <v>24</v>
      </c>
      <c r="C21" s="68" t="s">
        <v>26</v>
      </c>
      <c r="D21" s="68" t="s">
        <v>20</v>
      </c>
      <c r="E21" s="38">
        <f>E22</f>
        <v>1871</v>
      </c>
      <c r="F21" s="178">
        <f>F22</f>
        <v>1592.404</v>
      </c>
      <c r="G21" s="185">
        <f t="shared" si="0"/>
        <v>0.8510978086584714</v>
      </c>
      <c r="H21" s="168"/>
    </row>
    <row r="22" spans="1:8" s="20" customFormat="1" ht="25.5">
      <c r="A22" s="67" t="s">
        <v>21</v>
      </c>
      <c r="B22" s="68" t="s">
        <v>24</v>
      </c>
      <c r="C22" s="68" t="s">
        <v>26</v>
      </c>
      <c r="D22" s="68" t="s">
        <v>22</v>
      </c>
      <c r="E22" s="38">
        <f>1340+761-230</f>
        <v>1871</v>
      </c>
      <c r="F22" s="178">
        <v>1592.404</v>
      </c>
      <c r="G22" s="185">
        <f t="shared" si="0"/>
        <v>0.8510978086584714</v>
      </c>
      <c r="H22" s="168"/>
    </row>
    <row r="23" spans="1:8" s="20" customFormat="1" ht="12.75">
      <c r="A23" s="67" t="s">
        <v>27</v>
      </c>
      <c r="B23" s="68" t="s">
        <v>24</v>
      </c>
      <c r="C23" s="71" t="s">
        <v>28</v>
      </c>
      <c r="D23" s="71"/>
      <c r="E23" s="69">
        <f>E27+E24</f>
        <v>3261</v>
      </c>
      <c r="F23" s="175">
        <f>F27+F24</f>
        <v>2396.5402299999996</v>
      </c>
      <c r="G23" s="185">
        <f t="shared" si="0"/>
        <v>0.7349096074823672</v>
      </c>
      <c r="H23" s="168"/>
    </row>
    <row r="24" spans="1:8" s="20" customFormat="1" ht="12.75">
      <c r="A24" s="67" t="s">
        <v>29</v>
      </c>
      <c r="B24" s="68" t="s">
        <v>24</v>
      </c>
      <c r="C24" s="71" t="s">
        <v>30</v>
      </c>
      <c r="D24" s="68"/>
      <c r="E24" s="69">
        <f>E25</f>
        <v>1251</v>
      </c>
      <c r="F24" s="175">
        <f>F25</f>
        <v>1178.45957</v>
      </c>
      <c r="G24" s="185">
        <f t="shared" si="0"/>
        <v>0.9420140447641886</v>
      </c>
      <c r="H24" s="168"/>
    </row>
    <row r="25" spans="1:8" s="20" customFormat="1" ht="63.75">
      <c r="A25" s="67" t="s">
        <v>19</v>
      </c>
      <c r="B25" s="68" t="s">
        <v>24</v>
      </c>
      <c r="C25" s="71" t="s">
        <v>30</v>
      </c>
      <c r="D25" s="71" t="s">
        <v>20</v>
      </c>
      <c r="E25" s="69">
        <f>E26</f>
        <v>1251</v>
      </c>
      <c r="F25" s="175">
        <f>F26</f>
        <v>1178.45957</v>
      </c>
      <c r="G25" s="185">
        <f t="shared" si="0"/>
        <v>0.9420140447641886</v>
      </c>
      <c r="H25" s="168"/>
    </row>
    <row r="26" spans="1:8" s="20" customFormat="1" ht="25.5">
      <c r="A26" s="67" t="s">
        <v>21</v>
      </c>
      <c r="B26" s="68" t="s">
        <v>24</v>
      </c>
      <c r="C26" s="71" t="s">
        <v>30</v>
      </c>
      <c r="D26" s="68" t="s">
        <v>22</v>
      </c>
      <c r="E26" s="69">
        <f>1021+230</f>
        <v>1251</v>
      </c>
      <c r="F26" s="175">
        <v>1178.45957</v>
      </c>
      <c r="G26" s="185">
        <f t="shared" si="0"/>
        <v>0.9420140447641886</v>
      </c>
      <c r="H26" s="168"/>
    </row>
    <row r="27" spans="1:8" s="20" customFormat="1" ht="25.5">
      <c r="A27" s="67" t="s">
        <v>31</v>
      </c>
      <c r="B27" s="68" t="s">
        <v>24</v>
      </c>
      <c r="C27" s="71" t="s">
        <v>32</v>
      </c>
      <c r="D27" s="71"/>
      <c r="E27" s="69">
        <f>E30+E28</f>
        <v>2010</v>
      </c>
      <c r="F27" s="175">
        <f>F30+F28</f>
        <v>1218.0806599999999</v>
      </c>
      <c r="G27" s="185">
        <f t="shared" si="0"/>
        <v>0.6060102786069651</v>
      </c>
      <c r="H27" s="168"/>
    </row>
    <row r="28" spans="1:8" s="20" customFormat="1" ht="25.5">
      <c r="A28" s="67" t="s">
        <v>33</v>
      </c>
      <c r="B28" s="68" t="s">
        <v>24</v>
      </c>
      <c r="C28" s="71" t="s">
        <v>32</v>
      </c>
      <c r="D28" s="71" t="s">
        <v>34</v>
      </c>
      <c r="E28" s="69">
        <f>E29</f>
        <v>1995</v>
      </c>
      <c r="F28" s="175">
        <f>F29</f>
        <v>1218.04057</v>
      </c>
      <c r="G28" s="185">
        <f t="shared" si="0"/>
        <v>0.6105466516290726</v>
      </c>
      <c r="H28" s="168"/>
    </row>
    <row r="29" spans="1:8" s="20" customFormat="1" ht="25.5">
      <c r="A29" s="67" t="s">
        <v>35</v>
      </c>
      <c r="B29" s="68" t="s">
        <v>24</v>
      </c>
      <c r="C29" s="71" t="s">
        <v>32</v>
      </c>
      <c r="D29" s="71" t="s">
        <v>36</v>
      </c>
      <c r="E29" s="69">
        <v>1995</v>
      </c>
      <c r="F29" s="175">
        <v>1218.04057</v>
      </c>
      <c r="G29" s="185">
        <f t="shared" si="0"/>
        <v>0.6105466516290726</v>
      </c>
      <c r="H29" s="168"/>
    </row>
    <row r="30" spans="1:8" s="20" customFormat="1" ht="12.75">
      <c r="A30" s="67" t="s">
        <v>37</v>
      </c>
      <c r="B30" s="68" t="s">
        <v>24</v>
      </c>
      <c r="C30" s="71" t="s">
        <v>32</v>
      </c>
      <c r="D30" s="71" t="s">
        <v>38</v>
      </c>
      <c r="E30" s="69">
        <f>E31</f>
        <v>15</v>
      </c>
      <c r="F30" s="175">
        <f>F31</f>
        <v>0.04009</v>
      </c>
      <c r="G30" s="185">
        <f t="shared" si="0"/>
        <v>0.0026726666666666665</v>
      </c>
      <c r="H30" s="168"/>
    </row>
    <row r="31" spans="1:8" s="20" customFormat="1" ht="12.75">
      <c r="A31" s="67" t="s">
        <v>39</v>
      </c>
      <c r="B31" s="68" t="s">
        <v>24</v>
      </c>
      <c r="C31" s="71" t="s">
        <v>32</v>
      </c>
      <c r="D31" s="71" t="s">
        <v>40</v>
      </c>
      <c r="E31" s="69">
        <v>15</v>
      </c>
      <c r="F31" s="175">
        <v>0.04009</v>
      </c>
      <c r="G31" s="185">
        <f t="shared" si="0"/>
        <v>0.0026726666666666665</v>
      </c>
      <c r="H31" s="168"/>
    </row>
    <row r="32" spans="1:8" s="20" customFormat="1" ht="54">
      <c r="A32" s="72" t="s">
        <v>41</v>
      </c>
      <c r="B32" s="61" t="s">
        <v>42</v>
      </c>
      <c r="C32" s="61"/>
      <c r="D32" s="61"/>
      <c r="E32" s="25">
        <f>E33</f>
        <v>25044</v>
      </c>
      <c r="F32" s="176">
        <f>F33</f>
        <v>21156.436836599998</v>
      </c>
      <c r="G32" s="185">
        <f t="shared" si="0"/>
        <v>0.8447706770723525</v>
      </c>
      <c r="H32" s="168"/>
    </row>
    <row r="33" spans="1:8" s="20" customFormat="1" ht="38.25">
      <c r="A33" s="67" t="s">
        <v>15</v>
      </c>
      <c r="B33" s="71" t="s">
        <v>42</v>
      </c>
      <c r="C33" s="68" t="s">
        <v>28</v>
      </c>
      <c r="D33" s="71"/>
      <c r="E33" s="69">
        <f>E34</f>
        <v>25044</v>
      </c>
      <c r="F33" s="175">
        <f>F34</f>
        <v>21156.436836599998</v>
      </c>
      <c r="G33" s="185">
        <f t="shared" si="0"/>
        <v>0.8447706770723525</v>
      </c>
      <c r="H33" s="168"/>
    </row>
    <row r="34" spans="1:8" s="20" customFormat="1" ht="12.75">
      <c r="A34" s="70" t="s">
        <v>27</v>
      </c>
      <c r="B34" s="71" t="s">
        <v>42</v>
      </c>
      <c r="C34" s="68" t="s">
        <v>28</v>
      </c>
      <c r="D34" s="71"/>
      <c r="E34" s="69">
        <f>E35+E38+E41</f>
        <v>25044</v>
      </c>
      <c r="F34" s="175">
        <f>F35+F38+F41</f>
        <v>21156.436836599998</v>
      </c>
      <c r="G34" s="185">
        <f t="shared" si="0"/>
        <v>0.8447706770723525</v>
      </c>
      <c r="H34" s="168"/>
    </row>
    <row r="35" spans="1:8" s="20" customFormat="1" ht="12.75">
      <c r="A35" s="67" t="s">
        <v>43</v>
      </c>
      <c r="B35" s="71" t="s">
        <v>42</v>
      </c>
      <c r="C35" s="71" t="s">
        <v>44</v>
      </c>
      <c r="D35" s="71"/>
      <c r="E35" s="69">
        <f>E37</f>
        <v>8178.2</v>
      </c>
      <c r="F35" s="175">
        <f>F37</f>
        <v>6965.9466466</v>
      </c>
      <c r="G35" s="185">
        <f t="shared" si="0"/>
        <v>0.851770150717762</v>
      </c>
      <c r="H35" s="168"/>
    </row>
    <row r="36" spans="1:8" s="20" customFormat="1" ht="63.75">
      <c r="A36" s="67" t="s">
        <v>19</v>
      </c>
      <c r="B36" s="71" t="s">
        <v>42</v>
      </c>
      <c r="C36" s="71" t="s">
        <v>44</v>
      </c>
      <c r="D36" s="71" t="s">
        <v>20</v>
      </c>
      <c r="E36" s="69">
        <f>E37</f>
        <v>8178.2</v>
      </c>
      <c r="F36" s="175">
        <f>F37</f>
        <v>6965.9466466</v>
      </c>
      <c r="G36" s="185">
        <f t="shared" si="0"/>
        <v>0.851770150717762</v>
      </c>
      <c r="H36" s="168"/>
    </row>
    <row r="37" spans="1:8" s="20" customFormat="1" ht="25.5">
      <c r="A37" s="67" t="s">
        <v>21</v>
      </c>
      <c r="B37" s="71" t="s">
        <v>42</v>
      </c>
      <c r="C37" s="71" t="s">
        <v>44</v>
      </c>
      <c r="D37" s="68" t="s">
        <v>22</v>
      </c>
      <c r="E37" s="69">
        <f>5861+330.2+226+1761</f>
        <v>8178.2</v>
      </c>
      <c r="F37" s="175">
        <v>6965.9466466</v>
      </c>
      <c r="G37" s="185">
        <f t="shared" si="0"/>
        <v>0.851770150717762</v>
      </c>
      <c r="H37" s="168"/>
    </row>
    <row r="38" spans="1:8" s="20" customFormat="1" ht="12.75">
      <c r="A38" s="67" t="s">
        <v>29</v>
      </c>
      <c r="B38" s="71" t="s">
        <v>42</v>
      </c>
      <c r="C38" s="71" t="s">
        <v>30</v>
      </c>
      <c r="D38" s="71"/>
      <c r="E38" s="69">
        <f>E39</f>
        <v>11056.8</v>
      </c>
      <c r="F38" s="175">
        <f>F39</f>
        <v>9572.1274</v>
      </c>
      <c r="G38" s="185">
        <f t="shared" si="0"/>
        <v>0.865723120613559</v>
      </c>
      <c r="H38" s="168"/>
    </row>
    <row r="39" spans="1:8" s="20" customFormat="1" ht="63.75">
      <c r="A39" s="67" t="s">
        <v>19</v>
      </c>
      <c r="B39" s="71" t="s">
        <v>42</v>
      </c>
      <c r="C39" s="71" t="s">
        <v>30</v>
      </c>
      <c r="D39" s="71" t="s">
        <v>20</v>
      </c>
      <c r="E39" s="69">
        <f>E40</f>
        <v>11056.8</v>
      </c>
      <c r="F39" s="175">
        <f>F40</f>
        <v>9572.1274</v>
      </c>
      <c r="G39" s="185">
        <f t="shared" si="0"/>
        <v>0.865723120613559</v>
      </c>
      <c r="H39" s="168"/>
    </row>
    <row r="40" spans="1:8" s="20" customFormat="1" ht="25.5">
      <c r="A40" s="67" t="s">
        <v>21</v>
      </c>
      <c r="B40" s="71" t="s">
        <v>42</v>
      </c>
      <c r="C40" s="71" t="s">
        <v>30</v>
      </c>
      <c r="D40" s="71" t="s">
        <v>22</v>
      </c>
      <c r="E40" s="69">
        <f>5998-330.2+2000+340+3049</f>
        <v>11056.8</v>
      </c>
      <c r="F40" s="175">
        <v>9572.1274</v>
      </c>
      <c r="G40" s="185">
        <f t="shared" si="0"/>
        <v>0.865723120613559</v>
      </c>
      <c r="H40" s="168"/>
    </row>
    <row r="41" spans="1:8" s="20" customFormat="1" ht="25.5">
      <c r="A41" s="67" t="s">
        <v>31</v>
      </c>
      <c r="B41" s="71" t="s">
        <v>42</v>
      </c>
      <c r="C41" s="71" t="s">
        <v>32</v>
      </c>
      <c r="D41" s="71"/>
      <c r="E41" s="69">
        <f>E42+E44+E46</f>
        <v>5809</v>
      </c>
      <c r="F41" s="175">
        <f>F42+F44+F46</f>
        <v>4618.36279</v>
      </c>
      <c r="G41" s="185">
        <f t="shared" si="0"/>
        <v>0.7950357703563437</v>
      </c>
      <c r="H41" s="168"/>
    </row>
    <row r="42" spans="1:8" s="20" customFormat="1" ht="63.75">
      <c r="A42" s="67" t="s">
        <v>19</v>
      </c>
      <c r="B42" s="71" t="s">
        <v>42</v>
      </c>
      <c r="C42" s="71" t="s">
        <v>32</v>
      </c>
      <c r="D42" s="71" t="s">
        <v>20</v>
      </c>
      <c r="E42" s="69">
        <f>E43</f>
        <v>22</v>
      </c>
      <c r="F42" s="175">
        <f>F43</f>
        <v>3.09258</v>
      </c>
      <c r="G42" s="185">
        <f t="shared" si="0"/>
        <v>0.1405718181818182</v>
      </c>
      <c r="H42" s="168"/>
    </row>
    <row r="43" spans="1:8" s="20" customFormat="1" ht="25.5">
      <c r="A43" s="67" t="s">
        <v>21</v>
      </c>
      <c r="B43" s="71" t="s">
        <v>42</v>
      </c>
      <c r="C43" s="71" t="s">
        <v>32</v>
      </c>
      <c r="D43" s="71" t="s">
        <v>22</v>
      </c>
      <c r="E43" s="69">
        <v>22</v>
      </c>
      <c r="F43" s="175">
        <v>3.09258</v>
      </c>
      <c r="G43" s="185">
        <f t="shared" si="0"/>
        <v>0.1405718181818182</v>
      </c>
      <c r="H43" s="168"/>
    </row>
    <row r="44" spans="1:8" s="20" customFormat="1" ht="25.5">
      <c r="A44" s="67" t="s">
        <v>33</v>
      </c>
      <c r="B44" s="71" t="s">
        <v>42</v>
      </c>
      <c r="C44" s="71" t="s">
        <v>32</v>
      </c>
      <c r="D44" s="71" t="s">
        <v>34</v>
      </c>
      <c r="E44" s="69">
        <f>E45</f>
        <v>5632</v>
      </c>
      <c r="F44" s="175">
        <f>F45</f>
        <v>4502.56158</v>
      </c>
      <c r="G44" s="185">
        <f t="shared" si="0"/>
        <v>0.7994605078124999</v>
      </c>
      <c r="H44" s="168"/>
    </row>
    <row r="45" spans="1:8" s="20" customFormat="1" ht="25.5">
      <c r="A45" s="67" t="s">
        <v>35</v>
      </c>
      <c r="B45" s="71" t="s">
        <v>42</v>
      </c>
      <c r="C45" s="71" t="s">
        <v>32</v>
      </c>
      <c r="D45" s="71" t="s">
        <v>36</v>
      </c>
      <c r="E45" s="69">
        <v>5632</v>
      </c>
      <c r="F45" s="175">
        <v>4502.56158</v>
      </c>
      <c r="G45" s="185">
        <f t="shared" si="0"/>
        <v>0.7994605078124999</v>
      </c>
      <c r="H45" s="168"/>
    </row>
    <row r="46" spans="1:8" s="20" customFormat="1" ht="12.75">
      <c r="A46" s="67" t="s">
        <v>37</v>
      </c>
      <c r="B46" s="71" t="s">
        <v>42</v>
      </c>
      <c r="C46" s="71" t="s">
        <v>32</v>
      </c>
      <c r="D46" s="71" t="s">
        <v>38</v>
      </c>
      <c r="E46" s="69">
        <f>E47</f>
        <v>155</v>
      </c>
      <c r="F46" s="175">
        <f>F47</f>
        <v>112.70863</v>
      </c>
      <c r="G46" s="185">
        <f t="shared" si="0"/>
        <v>0.7271524516129032</v>
      </c>
      <c r="H46" s="168"/>
    </row>
    <row r="47" spans="1:8" s="20" customFormat="1" ht="12.75">
      <c r="A47" s="67" t="s">
        <v>39</v>
      </c>
      <c r="B47" s="71" t="s">
        <v>42</v>
      </c>
      <c r="C47" s="71" t="s">
        <v>32</v>
      </c>
      <c r="D47" s="71" t="s">
        <v>40</v>
      </c>
      <c r="E47" s="69">
        <v>155</v>
      </c>
      <c r="F47" s="175">
        <v>112.70863</v>
      </c>
      <c r="G47" s="185">
        <f t="shared" si="0"/>
        <v>0.7271524516129032</v>
      </c>
      <c r="H47" s="168"/>
    </row>
    <row r="48" spans="1:8" s="20" customFormat="1" ht="40.5">
      <c r="A48" s="73" t="s">
        <v>45</v>
      </c>
      <c r="B48" s="61" t="s">
        <v>46</v>
      </c>
      <c r="C48" s="61"/>
      <c r="D48" s="61"/>
      <c r="E48" s="25">
        <f>E49</f>
        <v>1782</v>
      </c>
      <c r="F48" s="176">
        <f>F49</f>
        <v>1176.40119</v>
      </c>
      <c r="G48" s="185">
        <f t="shared" si="0"/>
        <v>0.6601577946127947</v>
      </c>
      <c r="H48" s="168"/>
    </row>
    <row r="49" spans="1:8" s="20" customFormat="1" ht="38.25">
      <c r="A49" s="67" t="s">
        <v>15</v>
      </c>
      <c r="B49" s="71" t="s">
        <v>46</v>
      </c>
      <c r="C49" s="68" t="s">
        <v>16</v>
      </c>
      <c r="D49" s="71"/>
      <c r="E49" s="69">
        <f>E50+E55</f>
        <v>1782</v>
      </c>
      <c r="F49" s="175">
        <f>F50+F55</f>
        <v>1176.40119</v>
      </c>
      <c r="G49" s="185">
        <f t="shared" si="0"/>
        <v>0.6601577946127947</v>
      </c>
      <c r="H49" s="168"/>
    </row>
    <row r="50" spans="1:8" s="20" customFormat="1" ht="25.5">
      <c r="A50" s="67" t="s">
        <v>31</v>
      </c>
      <c r="B50" s="71" t="s">
        <v>46</v>
      </c>
      <c r="C50" s="71" t="s">
        <v>32</v>
      </c>
      <c r="D50" s="71"/>
      <c r="E50" s="69">
        <f>E51+E53</f>
        <v>276</v>
      </c>
      <c r="F50" s="175">
        <f>F51+F53</f>
        <v>22.424</v>
      </c>
      <c r="G50" s="185">
        <f t="shared" si="0"/>
        <v>0.0812463768115942</v>
      </c>
      <c r="H50" s="168"/>
    </row>
    <row r="51" spans="1:8" s="20" customFormat="1" ht="25.5">
      <c r="A51" s="67" t="s">
        <v>33</v>
      </c>
      <c r="B51" s="71" t="s">
        <v>46</v>
      </c>
      <c r="C51" s="71" t="s">
        <v>32</v>
      </c>
      <c r="D51" s="71" t="s">
        <v>34</v>
      </c>
      <c r="E51" s="69">
        <f>E52</f>
        <v>275</v>
      </c>
      <c r="F51" s="175">
        <f>F52</f>
        <v>21.424</v>
      </c>
      <c r="G51" s="185">
        <f t="shared" si="0"/>
        <v>0.07790545454545454</v>
      </c>
      <c r="H51" s="168"/>
    </row>
    <row r="52" spans="1:8" s="20" customFormat="1" ht="25.5">
      <c r="A52" s="67" t="s">
        <v>35</v>
      </c>
      <c r="B52" s="71" t="s">
        <v>46</v>
      </c>
      <c r="C52" s="71" t="s">
        <v>32</v>
      </c>
      <c r="D52" s="71" t="s">
        <v>36</v>
      </c>
      <c r="E52" s="69">
        <v>275</v>
      </c>
      <c r="F52" s="175">
        <v>21.424</v>
      </c>
      <c r="G52" s="185">
        <f t="shared" si="0"/>
        <v>0.07790545454545454</v>
      </c>
      <c r="H52" s="168"/>
    </row>
    <row r="53" spans="1:8" s="20" customFormat="1" ht="12.75">
      <c r="A53" s="67" t="s">
        <v>37</v>
      </c>
      <c r="B53" s="71" t="s">
        <v>46</v>
      </c>
      <c r="C53" s="71" t="s">
        <v>32</v>
      </c>
      <c r="D53" s="71" t="s">
        <v>38</v>
      </c>
      <c r="E53" s="69">
        <f>E54</f>
        <v>1</v>
      </c>
      <c r="F53" s="175">
        <f>F54</f>
        <v>1</v>
      </c>
      <c r="G53" s="185">
        <f t="shared" si="0"/>
        <v>1</v>
      </c>
      <c r="H53" s="168"/>
    </row>
    <row r="54" spans="1:8" s="20" customFormat="1" ht="12.75">
      <c r="A54" s="67" t="s">
        <v>39</v>
      </c>
      <c r="B54" s="71" t="s">
        <v>46</v>
      </c>
      <c r="C54" s="71" t="s">
        <v>32</v>
      </c>
      <c r="D54" s="71" t="s">
        <v>40</v>
      </c>
      <c r="E54" s="69">
        <v>1</v>
      </c>
      <c r="F54" s="175">
        <v>1</v>
      </c>
      <c r="G54" s="185">
        <f t="shared" si="0"/>
        <v>1</v>
      </c>
      <c r="H54" s="168"/>
    </row>
    <row r="55" spans="1:8" s="20" customFormat="1" ht="25.5">
      <c r="A55" s="74" t="s">
        <v>47</v>
      </c>
      <c r="B55" s="71" t="s">
        <v>46</v>
      </c>
      <c r="C55" s="71" t="s">
        <v>28</v>
      </c>
      <c r="D55" s="71"/>
      <c r="E55" s="69">
        <f>E56</f>
        <v>1506</v>
      </c>
      <c r="F55" s="175">
        <f>F56</f>
        <v>1153.97719</v>
      </c>
      <c r="G55" s="185">
        <f t="shared" si="0"/>
        <v>0.7662531142098274</v>
      </c>
      <c r="H55" s="168"/>
    </row>
    <row r="56" spans="1:8" s="20" customFormat="1" ht="63.75">
      <c r="A56" s="67" t="s">
        <v>19</v>
      </c>
      <c r="B56" s="71" t="s">
        <v>46</v>
      </c>
      <c r="C56" s="68" t="s">
        <v>48</v>
      </c>
      <c r="D56" s="71" t="s">
        <v>20</v>
      </c>
      <c r="E56" s="69">
        <f>E57</f>
        <v>1506</v>
      </c>
      <c r="F56" s="175">
        <f>F57</f>
        <v>1153.97719</v>
      </c>
      <c r="G56" s="185">
        <f t="shared" si="0"/>
        <v>0.7662531142098274</v>
      </c>
      <c r="H56" s="168"/>
    </row>
    <row r="57" spans="1:8" s="20" customFormat="1" ht="25.5">
      <c r="A57" s="67" t="s">
        <v>21</v>
      </c>
      <c r="B57" s="71" t="s">
        <v>46</v>
      </c>
      <c r="C57" s="68" t="s">
        <v>48</v>
      </c>
      <c r="D57" s="71" t="s">
        <v>22</v>
      </c>
      <c r="E57" s="69">
        <f>1264+242</f>
        <v>1506</v>
      </c>
      <c r="F57" s="175">
        <v>1153.97719</v>
      </c>
      <c r="G57" s="185">
        <f t="shared" si="0"/>
        <v>0.7662531142098274</v>
      </c>
      <c r="H57" s="168"/>
    </row>
    <row r="58" spans="1:8" s="20" customFormat="1" ht="13.5">
      <c r="A58" s="60" t="s">
        <v>49</v>
      </c>
      <c r="B58" s="71" t="s">
        <v>50</v>
      </c>
      <c r="C58" s="68" t="s">
        <v>51</v>
      </c>
      <c r="D58" s="71"/>
      <c r="E58" s="69">
        <f aca="true" t="shared" si="1" ref="E58:F60">E59</f>
        <v>712</v>
      </c>
      <c r="F58" s="175">
        <f t="shared" si="1"/>
        <v>0</v>
      </c>
      <c r="G58" s="185">
        <f t="shared" si="0"/>
        <v>0</v>
      </c>
      <c r="H58" s="168"/>
    </row>
    <row r="59" spans="1:8" s="20" customFormat="1" ht="12.75">
      <c r="A59" s="67" t="s">
        <v>52</v>
      </c>
      <c r="B59" s="71" t="s">
        <v>50</v>
      </c>
      <c r="C59" s="68" t="s">
        <v>51</v>
      </c>
      <c r="D59" s="71"/>
      <c r="E59" s="69">
        <f t="shared" si="1"/>
        <v>712</v>
      </c>
      <c r="F59" s="175">
        <f t="shared" si="1"/>
        <v>0</v>
      </c>
      <c r="G59" s="185">
        <f t="shared" si="0"/>
        <v>0</v>
      </c>
      <c r="H59" s="168"/>
    </row>
    <row r="60" spans="1:8" s="20" customFormat="1" ht="12.75">
      <c r="A60" s="67" t="s">
        <v>37</v>
      </c>
      <c r="B60" s="71" t="s">
        <v>50</v>
      </c>
      <c r="C60" s="68" t="s">
        <v>51</v>
      </c>
      <c r="D60" s="71" t="s">
        <v>38</v>
      </c>
      <c r="E60" s="69">
        <f t="shared" si="1"/>
        <v>712</v>
      </c>
      <c r="F60" s="175">
        <f t="shared" si="1"/>
        <v>0</v>
      </c>
      <c r="G60" s="185">
        <f t="shared" si="0"/>
        <v>0</v>
      </c>
      <c r="H60" s="168"/>
    </row>
    <row r="61" spans="1:8" s="20" customFormat="1" ht="12.75">
      <c r="A61" s="67" t="s">
        <v>53</v>
      </c>
      <c r="B61" s="71" t="s">
        <v>50</v>
      </c>
      <c r="C61" s="68" t="s">
        <v>51</v>
      </c>
      <c r="D61" s="71" t="s">
        <v>54</v>
      </c>
      <c r="E61" s="69">
        <v>712</v>
      </c>
      <c r="F61" s="175">
        <v>0</v>
      </c>
      <c r="G61" s="185">
        <f t="shared" si="0"/>
        <v>0</v>
      </c>
      <c r="H61" s="168"/>
    </row>
    <row r="62" spans="1:8" s="20" customFormat="1" ht="13.5">
      <c r="A62" s="72" t="s">
        <v>55</v>
      </c>
      <c r="B62" s="61" t="s">
        <v>56</v>
      </c>
      <c r="C62" s="61"/>
      <c r="D62" s="61"/>
      <c r="E62" s="25">
        <f>E63+E68</f>
        <v>5276.162259999999</v>
      </c>
      <c r="F62" s="176">
        <f>F63+F68</f>
        <v>0</v>
      </c>
      <c r="G62" s="185">
        <f t="shared" si="0"/>
        <v>0</v>
      </c>
      <c r="H62" s="168"/>
    </row>
    <row r="63" spans="1:8" s="20" customFormat="1" ht="38.25">
      <c r="A63" s="40" t="s">
        <v>57</v>
      </c>
      <c r="B63" s="71" t="s">
        <v>56</v>
      </c>
      <c r="C63" s="71" t="s">
        <v>58</v>
      </c>
      <c r="D63" s="71"/>
      <c r="E63" s="69">
        <f aca="true" t="shared" si="2" ref="E63:F66">E64</f>
        <v>4776.162259999999</v>
      </c>
      <c r="F63" s="175">
        <f t="shared" si="2"/>
        <v>0</v>
      </c>
      <c r="G63" s="185">
        <f t="shared" si="0"/>
        <v>0</v>
      </c>
      <c r="H63" s="168"/>
    </row>
    <row r="64" spans="1:8" s="20" customFormat="1" ht="12.75">
      <c r="A64" s="74" t="s">
        <v>55</v>
      </c>
      <c r="B64" s="71" t="s">
        <v>56</v>
      </c>
      <c r="C64" s="71" t="s">
        <v>58</v>
      </c>
      <c r="D64" s="71"/>
      <c r="E64" s="69">
        <f t="shared" si="2"/>
        <v>4776.162259999999</v>
      </c>
      <c r="F64" s="175">
        <f t="shared" si="2"/>
        <v>0</v>
      </c>
      <c r="G64" s="185">
        <f t="shared" si="0"/>
        <v>0</v>
      </c>
      <c r="H64" s="168"/>
    </row>
    <row r="65" spans="1:8" s="20" customFormat="1" ht="12.75">
      <c r="A65" s="70" t="s">
        <v>59</v>
      </c>
      <c r="B65" s="71" t="s">
        <v>56</v>
      </c>
      <c r="C65" s="71" t="s">
        <v>58</v>
      </c>
      <c r="D65" s="71"/>
      <c r="E65" s="69">
        <f t="shared" si="2"/>
        <v>4776.162259999999</v>
      </c>
      <c r="F65" s="175">
        <f t="shared" si="2"/>
        <v>0</v>
      </c>
      <c r="G65" s="185">
        <f t="shared" si="0"/>
        <v>0</v>
      </c>
      <c r="H65" s="168"/>
    </row>
    <row r="66" spans="1:8" s="20" customFormat="1" ht="12.75">
      <c r="A66" s="67" t="s">
        <v>37</v>
      </c>
      <c r="B66" s="71" t="s">
        <v>56</v>
      </c>
      <c r="C66" s="71" t="s">
        <v>58</v>
      </c>
      <c r="D66" s="71" t="s">
        <v>38</v>
      </c>
      <c r="E66" s="69">
        <f t="shared" si="2"/>
        <v>4776.162259999999</v>
      </c>
      <c r="F66" s="175">
        <f t="shared" si="2"/>
        <v>0</v>
      </c>
      <c r="G66" s="185">
        <f t="shared" si="0"/>
        <v>0</v>
      </c>
      <c r="H66" s="168"/>
    </row>
    <row r="67" spans="1:8" s="20" customFormat="1" ht="12.75">
      <c r="A67" s="70" t="s">
        <v>60</v>
      </c>
      <c r="B67" s="71" t="s">
        <v>56</v>
      </c>
      <c r="C67" s="71" t="s">
        <v>58</v>
      </c>
      <c r="D67" s="71" t="s">
        <v>61</v>
      </c>
      <c r="E67" s="69">
        <f>1000-450.13025+9000-42.08385-776.9306-3954.69304</f>
        <v>4776.162259999999</v>
      </c>
      <c r="F67" s="175">
        <v>0</v>
      </c>
      <c r="G67" s="185">
        <f t="shared" si="0"/>
        <v>0</v>
      </c>
      <c r="H67" s="168"/>
    </row>
    <row r="68" spans="1:8" s="20" customFormat="1" ht="33" customHeight="1">
      <c r="A68" s="75" t="s">
        <v>62</v>
      </c>
      <c r="B68" s="71" t="s">
        <v>56</v>
      </c>
      <c r="C68" s="68" t="s">
        <v>63</v>
      </c>
      <c r="D68" s="62"/>
      <c r="E68" s="69">
        <f aca="true" t="shared" si="3" ref="E68:F70">E69</f>
        <v>500</v>
      </c>
      <c r="F68" s="175">
        <f t="shared" si="3"/>
        <v>0</v>
      </c>
      <c r="G68" s="185">
        <f t="shared" si="0"/>
        <v>0</v>
      </c>
      <c r="H68" s="168"/>
    </row>
    <row r="69" spans="1:8" s="20" customFormat="1" ht="34.5" customHeight="1">
      <c r="A69" s="75" t="s">
        <v>64</v>
      </c>
      <c r="B69" s="71" t="s">
        <v>56</v>
      </c>
      <c r="C69" s="68" t="s">
        <v>65</v>
      </c>
      <c r="E69" s="69">
        <f t="shared" si="3"/>
        <v>500</v>
      </c>
      <c r="F69" s="175">
        <f t="shared" si="3"/>
        <v>0</v>
      </c>
      <c r="G69" s="185">
        <f t="shared" si="0"/>
        <v>0</v>
      </c>
      <c r="H69" s="168"/>
    </row>
    <row r="70" spans="1:8" s="20" customFormat="1" ht="12.75">
      <c r="A70" s="67" t="s">
        <v>37</v>
      </c>
      <c r="B70" s="71" t="s">
        <v>56</v>
      </c>
      <c r="C70" s="68" t="s">
        <v>65</v>
      </c>
      <c r="D70" s="71" t="s">
        <v>38</v>
      </c>
      <c r="E70" s="69">
        <f t="shared" si="3"/>
        <v>500</v>
      </c>
      <c r="F70" s="175">
        <f t="shared" si="3"/>
        <v>0</v>
      </c>
      <c r="G70" s="185">
        <f t="shared" si="0"/>
        <v>0</v>
      </c>
      <c r="H70" s="168"/>
    </row>
    <row r="71" spans="1:8" s="20" customFormat="1" ht="12.75">
      <c r="A71" s="70" t="s">
        <v>60</v>
      </c>
      <c r="B71" s="71" t="s">
        <v>56</v>
      </c>
      <c r="C71" s="68" t="s">
        <v>65</v>
      </c>
      <c r="D71" s="71" t="s">
        <v>61</v>
      </c>
      <c r="E71" s="69">
        <v>500</v>
      </c>
      <c r="F71" s="175">
        <v>0</v>
      </c>
      <c r="G71" s="185">
        <f t="shared" si="0"/>
        <v>0</v>
      </c>
      <c r="H71" s="168"/>
    </row>
    <row r="72" spans="1:8" s="20" customFormat="1" ht="13.5">
      <c r="A72" s="72" t="s">
        <v>66</v>
      </c>
      <c r="B72" s="61" t="s">
        <v>67</v>
      </c>
      <c r="C72" s="61"/>
      <c r="D72" s="61"/>
      <c r="E72" s="25">
        <f>E73+E83+E79</f>
        <v>22422.8</v>
      </c>
      <c r="F72" s="176">
        <f>F73+F83+F79</f>
        <v>13579.92862</v>
      </c>
      <c r="G72" s="185">
        <f t="shared" si="0"/>
        <v>0.605630368196657</v>
      </c>
      <c r="H72" s="168"/>
    </row>
    <row r="73" spans="1:8" s="20" customFormat="1" ht="38.25">
      <c r="A73" s="28" t="s">
        <v>68</v>
      </c>
      <c r="B73" s="71" t="s">
        <v>67</v>
      </c>
      <c r="C73" s="71" t="s">
        <v>69</v>
      </c>
      <c r="D73" s="71"/>
      <c r="E73" s="76">
        <f>E74</f>
        <v>9993.8</v>
      </c>
      <c r="F73" s="174">
        <f>F74</f>
        <v>4040.30157</v>
      </c>
      <c r="G73" s="185">
        <f t="shared" si="0"/>
        <v>0.40428081110288383</v>
      </c>
      <c r="H73" s="168"/>
    </row>
    <row r="74" spans="1:8" s="20" customFormat="1" ht="43.5" customHeight="1">
      <c r="A74" s="28" t="s">
        <v>70</v>
      </c>
      <c r="B74" s="71" t="s">
        <v>67</v>
      </c>
      <c r="C74" s="71" t="s">
        <v>71</v>
      </c>
      <c r="D74" s="71"/>
      <c r="E74" s="76">
        <f>E75+E77</f>
        <v>9993.8</v>
      </c>
      <c r="F74" s="174">
        <f>F75+F77</f>
        <v>4040.30157</v>
      </c>
      <c r="G74" s="185">
        <f t="shared" si="0"/>
        <v>0.40428081110288383</v>
      </c>
      <c r="H74" s="168"/>
    </row>
    <row r="75" spans="1:8" s="20" customFormat="1" ht="25.5">
      <c r="A75" s="67" t="s">
        <v>33</v>
      </c>
      <c r="B75" s="71" t="s">
        <v>67</v>
      </c>
      <c r="C75" s="71" t="s">
        <v>71</v>
      </c>
      <c r="D75" s="71" t="s">
        <v>34</v>
      </c>
      <c r="E75" s="76">
        <f>E76</f>
        <v>4630</v>
      </c>
      <c r="F75" s="174">
        <f>F76</f>
        <v>1873.69457</v>
      </c>
      <c r="G75" s="185">
        <f t="shared" si="0"/>
        <v>0.4046856522678186</v>
      </c>
      <c r="H75" s="168"/>
    </row>
    <row r="76" spans="1:8" s="20" customFormat="1" ht="25.5">
      <c r="A76" s="67" t="s">
        <v>35</v>
      </c>
      <c r="B76" s="71" t="s">
        <v>67</v>
      </c>
      <c r="C76" s="71" t="s">
        <v>71</v>
      </c>
      <c r="D76" s="71" t="s">
        <v>36</v>
      </c>
      <c r="E76" s="76">
        <f>6150-2020+500</f>
        <v>4630</v>
      </c>
      <c r="F76" s="174">
        <v>1873.69457</v>
      </c>
      <c r="G76" s="185">
        <f t="shared" si="0"/>
        <v>0.4046856522678186</v>
      </c>
      <c r="H76" s="168"/>
    </row>
    <row r="77" spans="1:8" s="20" customFormat="1" ht="12.75">
      <c r="A77" s="67" t="s">
        <v>37</v>
      </c>
      <c r="B77" s="71" t="s">
        <v>67</v>
      </c>
      <c r="C77" s="71" t="s">
        <v>71</v>
      </c>
      <c r="D77" s="71" t="s">
        <v>38</v>
      </c>
      <c r="E77" s="76">
        <f>E78</f>
        <v>5363.8</v>
      </c>
      <c r="F77" s="174">
        <f>F78</f>
        <v>2166.607</v>
      </c>
      <c r="G77" s="185">
        <f aca="true" t="shared" si="4" ref="G77:G140">F77/E77</f>
        <v>0.4039313546366382</v>
      </c>
      <c r="H77" s="168"/>
    </row>
    <row r="78" spans="1:8" s="20" customFormat="1" ht="12.75">
      <c r="A78" s="67" t="s">
        <v>39</v>
      </c>
      <c r="B78" s="71" t="s">
        <v>67</v>
      </c>
      <c r="C78" s="71" t="s">
        <v>71</v>
      </c>
      <c r="D78" s="71" t="s">
        <v>40</v>
      </c>
      <c r="E78" s="76">
        <f>2020+10000-3000-1676.2-300-380-300-1000</f>
        <v>5363.8</v>
      </c>
      <c r="F78" s="174">
        <v>2166.607</v>
      </c>
      <c r="G78" s="185">
        <f t="shared" si="4"/>
        <v>0.4039313546366382</v>
      </c>
      <c r="H78" s="168"/>
    </row>
    <row r="79" spans="1:8" s="20" customFormat="1" ht="38.25">
      <c r="A79" s="28" t="s">
        <v>72</v>
      </c>
      <c r="B79" s="71" t="s">
        <v>67</v>
      </c>
      <c r="C79" s="71" t="s">
        <v>73</v>
      </c>
      <c r="D79" s="71"/>
      <c r="E79" s="69">
        <f aca="true" t="shared" si="5" ref="E79:F81">E80</f>
        <v>20</v>
      </c>
      <c r="F79" s="175">
        <f t="shared" si="5"/>
        <v>0</v>
      </c>
      <c r="G79" s="185">
        <f t="shared" si="4"/>
        <v>0</v>
      </c>
      <c r="H79" s="168"/>
    </row>
    <row r="80" spans="1:8" s="20" customFormat="1" ht="12.75">
      <c r="A80" s="28" t="s">
        <v>74</v>
      </c>
      <c r="B80" s="71" t="s">
        <v>67</v>
      </c>
      <c r="C80" s="71" t="s">
        <v>75</v>
      </c>
      <c r="D80" s="71"/>
      <c r="E80" s="69">
        <f t="shared" si="5"/>
        <v>20</v>
      </c>
      <c r="F80" s="175">
        <f t="shared" si="5"/>
        <v>0</v>
      </c>
      <c r="G80" s="185">
        <f t="shared" si="4"/>
        <v>0</v>
      </c>
      <c r="H80" s="168"/>
    </row>
    <row r="81" spans="1:8" s="20" customFormat="1" ht="25.5">
      <c r="A81" s="77" t="s">
        <v>33</v>
      </c>
      <c r="B81" s="71" t="s">
        <v>67</v>
      </c>
      <c r="C81" s="71" t="s">
        <v>75</v>
      </c>
      <c r="D81" s="71" t="s">
        <v>34</v>
      </c>
      <c r="E81" s="69">
        <f t="shared" si="5"/>
        <v>20</v>
      </c>
      <c r="F81" s="175">
        <f t="shared" si="5"/>
        <v>0</v>
      </c>
      <c r="G81" s="185">
        <f t="shared" si="4"/>
        <v>0</v>
      </c>
      <c r="H81" s="168"/>
    </row>
    <row r="82" spans="1:8" s="20" customFormat="1" ht="25.5">
      <c r="A82" s="77" t="s">
        <v>35</v>
      </c>
      <c r="B82" s="71" t="s">
        <v>67</v>
      </c>
      <c r="C82" s="71" t="s">
        <v>75</v>
      </c>
      <c r="D82" s="71" t="s">
        <v>36</v>
      </c>
      <c r="E82" s="69">
        <v>20</v>
      </c>
      <c r="F82" s="175">
        <v>0</v>
      </c>
      <c r="G82" s="185">
        <f t="shared" si="4"/>
        <v>0</v>
      </c>
      <c r="H82" s="168"/>
    </row>
    <row r="83" spans="1:8" s="20" customFormat="1" ht="12.75">
      <c r="A83" s="77" t="s">
        <v>76</v>
      </c>
      <c r="B83" s="71" t="s">
        <v>67</v>
      </c>
      <c r="C83" s="68" t="s">
        <v>77</v>
      </c>
      <c r="D83" s="71"/>
      <c r="E83" s="76">
        <f>E84</f>
        <v>12409</v>
      </c>
      <c r="F83" s="174">
        <f>F84</f>
        <v>9539.627050000001</v>
      </c>
      <c r="G83" s="185">
        <f t="shared" si="4"/>
        <v>0.768766786203562</v>
      </c>
      <c r="H83" s="168"/>
    </row>
    <row r="84" spans="1:8" s="20" customFormat="1" ht="51">
      <c r="A84" s="67" t="s">
        <v>78</v>
      </c>
      <c r="B84" s="71" t="s">
        <v>67</v>
      </c>
      <c r="C84" s="68" t="s">
        <v>79</v>
      </c>
      <c r="D84" s="71"/>
      <c r="E84" s="76">
        <f>E85+E87+E89</f>
        <v>12409</v>
      </c>
      <c r="F84" s="174">
        <f>F85+F87+F89</f>
        <v>9539.627050000001</v>
      </c>
      <c r="G84" s="185">
        <f t="shared" si="4"/>
        <v>0.768766786203562</v>
      </c>
      <c r="H84" s="168"/>
    </row>
    <row r="85" spans="1:8" s="20" customFormat="1" ht="63.75">
      <c r="A85" s="67" t="s">
        <v>19</v>
      </c>
      <c r="B85" s="71" t="s">
        <v>67</v>
      </c>
      <c r="C85" s="68" t="s">
        <v>79</v>
      </c>
      <c r="D85" s="71" t="s">
        <v>20</v>
      </c>
      <c r="E85" s="76">
        <f>E86</f>
        <v>11293</v>
      </c>
      <c r="F85" s="174">
        <f>F86</f>
        <v>8826.13319</v>
      </c>
      <c r="G85" s="185">
        <f t="shared" si="4"/>
        <v>0.78155788453024</v>
      </c>
      <c r="H85" s="168"/>
    </row>
    <row r="86" spans="1:8" s="20" customFormat="1" ht="12.75">
      <c r="A86" s="67" t="s">
        <v>80</v>
      </c>
      <c r="B86" s="71" t="s">
        <v>67</v>
      </c>
      <c r="C86" s="68" t="s">
        <v>79</v>
      </c>
      <c r="D86" s="71" t="s">
        <v>81</v>
      </c>
      <c r="E86" s="76">
        <f>9260+2033</f>
        <v>11293</v>
      </c>
      <c r="F86" s="174">
        <v>8826.13319</v>
      </c>
      <c r="G86" s="185">
        <f t="shared" si="4"/>
        <v>0.78155788453024</v>
      </c>
      <c r="H86" s="168"/>
    </row>
    <row r="87" spans="1:8" s="20" customFormat="1" ht="25.5">
      <c r="A87" s="77" t="s">
        <v>33</v>
      </c>
      <c r="B87" s="71" t="s">
        <v>67</v>
      </c>
      <c r="C87" s="68" t="s">
        <v>79</v>
      </c>
      <c r="D87" s="71" t="s">
        <v>34</v>
      </c>
      <c r="E87" s="76">
        <f>E88</f>
        <v>1113</v>
      </c>
      <c r="F87" s="174">
        <f>F88</f>
        <v>711.72329</v>
      </c>
      <c r="G87" s="185">
        <f t="shared" si="4"/>
        <v>0.6394638724168913</v>
      </c>
      <c r="H87" s="168"/>
    </row>
    <row r="88" spans="1:8" s="20" customFormat="1" ht="25.5">
      <c r="A88" s="77" t="s">
        <v>35</v>
      </c>
      <c r="B88" s="71" t="s">
        <v>67</v>
      </c>
      <c r="C88" s="68" t="s">
        <v>79</v>
      </c>
      <c r="D88" s="71" t="s">
        <v>36</v>
      </c>
      <c r="E88" s="76">
        <v>1113</v>
      </c>
      <c r="F88" s="174">
        <v>711.72329</v>
      </c>
      <c r="G88" s="185">
        <f t="shared" si="4"/>
        <v>0.6394638724168913</v>
      </c>
      <c r="H88" s="168"/>
    </row>
    <row r="89" spans="1:8" s="20" customFormat="1" ht="12.75">
      <c r="A89" s="67" t="s">
        <v>37</v>
      </c>
      <c r="B89" s="71" t="s">
        <v>67</v>
      </c>
      <c r="C89" s="68" t="s">
        <v>79</v>
      </c>
      <c r="D89" s="71" t="s">
        <v>38</v>
      </c>
      <c r="E89" s="76">
        <f>E90</f>
        <v>3</v>
      </c>
      <c r="F89" s="174">
        <f>F90</f>
        <v>1.77057</v>
      </c>
      <c r="G89" s="185">
        <f t="shared" si="4"/>
        <v>0.59019</v>
      </c>
      <c r="H89" s="168"/>
    </row>
    <row r="90" spans="1:8" s="20" customFormat="1" ht="12.75">
      <c r="A90" s="67" t="s">
        <v>39</v>
      </c>
      <c r="B90" s="71" t="s">
        <v>67</v>
      </c>
      <c r="C90" s="68" t="s">
        <v>79</v>
      </c>
      <c r="D90" s="71" t="s">
        <v>40</v>
      </c>
      <c r="E90" s="76">
        <v>3</v>
      </c>
      <c r="F90" s="174">
        <v>1.77057</v>
      </c>
      <c r="G90" s="185">
        <f t="shared" si="4"/>
        <v>0.59019</v>
      </c>
      <c r="H90" s="168"/>
    </row>
    <row r="91" spans="1:8" s="64" customFormat="1" ht="13.5">
      <c r="A91" s="72" t="s">
        <v>82</v>
      </c>
      <c r="B91" s="61" t="s">
        <v>83</v>
      </c>
      <c r="C91" s="62"/>
      <c r="D91" s="62"/>
      <c r="E91" s="78">
        <f>E92+E94</f>
        <v>1178</v>
      </c>
      <c r="F91" s="179">
        <f>F92+F94</f>
        <v>893.232</v>
      </c>
      <c r="G91" s="185">
        <f t="shared" si="4"/>
        <v>0.7582614601018676</v>
      </c>
      <c r="H91" s="168"/>
    </row>
    <row r="92" spans="1:8" s="64" customFormat="1" ht="63.75">
      <c r="A92" s="67" t="s">
        <v>19</v>
      </c>
      <c r="B92" s="71" t="s">
        <v>85</v>
      </c>
      <c r="C92" s="71" t="s">
        <v>44</v>
      </c>
      <c r="D92" s="71" t="s">
        <v>20</v>
      </c>
      <c r="E92" s="69">
        <f>E93</f>
        <v>230</v>
      </c>
      <c r="F92" s="175">
        <f>F93</f>
        <v>182.232</v>
      </c>
      <c r="G92" s="185">
        <f t="shared" si="4"/>
        <v>0.7923130434782608</v>
      </c>
      <c r="H92" s="168"/>
    </row>
    <row r="93" spans="1:8" s="64" customFormat="1" ht="25.5">
      <c r="A93" s="67" t="s">
        <v>21</v>
      </c>
      <c r="B93" s="71" t="s">
        <v>85</v>
      </c>
      <c r="C93" s="71" t="s">
        <v>44</v>
      </c>
      <c r="D93" s="71" t="s">
        <v>22</v>
      </c>
      <c r="E93" s="69">
        <v>230</v>
      </c>
      <c r="F93" s="175">
        <v>182.232</v>
      </c>
      <c r="G93" s="185">
        <f t="shared" si="4"/>
        <v>0.7923130434782608</v>
      </c>
      <c r="H93" s="168"/>
    </row>
    <row r="94" spans="1:8" s="20" customFormat="1" ht="12.75">
      <c r="A94" s="79" t="s">
        <v>84</v>
      </c>
      <c r="B94" s="71" t="s">
        <v>85</v>
      </c>
      <c r="C94" s="71" t="s">
        <v>86</v>
      </c>
      <c r="D94" s="71"/>
      <c r="E94" s="69">
        <f>E95</f>
        <v>948</v>
      </c>
      <c r="F94" s="175">
        <f>F95</f>
        <v>711</v>
      </c>
      <c r="G94" s="185">
        <f t="shared" si="4"/>
        <v>0.75</v>
      </c>
      <c r="H94" s="168"/>
    </row>
    <row r="95" spans="1:8" s="20" customFormat="1" ht="25.5">
      <c r="A95" s="79" t="s">
        <v>87</v>
      </c>
      <c r="B95" s="71" t="s">
        <v>85</v>
      </c>
      <c r="C95" s="71" t="s">
        <v>86</v>
      </c>
      <c r="D95" s="71"/>
      <c r="E95" s="69">
        <f>E96+E98</f>
        <v>948</v>
      </c>
      <c r="F95" s="175">
        <f>F96+F98</f>
        <v>711</v>
      </c>
      <c r="G95" s="185">
        <f t="shared" si="4"/>
        <v>0.75</v>
      </c>
      <c r="H95" s="168"/>
    </row>
    <row r="96" spans="1:8" s="20" customFormat="1" ht="63.75">
      <c r="A96" s="67" t="s">
        <v>19</v>
      </c>
      <c r="B96" s="71" t="s">
        <v>85</v>
      </c>
      <c r="C96" s="71" t="s">
        <v>86</v>
      </c>
      <c r="D96" s="71" t="s">
        <v>20</v>
      </c>
      <c r="E96" s="69">
        <f>E97</f>
        <v>853.7</v>
      </c>
      <c r="F96" s="175">
        <v>690.88515</v>
      </c>
      <c r="G96" s="185">
        <f t="shared" si="4"/>
        <v>0.8092832962398968</v>
      </c>
      <c r="H96" s="168"/>
    </row>
    <row r="97" spans="1:8" s="20" customFormat="1" ht="25.5">
      <c r="A97" s="67" t="s">
        <v>21</v>
      </c>
      <c r="B97" s="71" t="s">
        <v>85</v>
      </c>
      <c r="C97" s="71" t="s">
        <v>86</v>
      </c>
      <c r="D97" s="71" t="s">
        <v>22</v>
      </c>
      <c r="E97" s="69">
        <f>705.7+62+9+77</f>
        <v>853.7</v>
      </c>
      <c r="F97" s="175">
        <v>690.88515</v>
      </c>
      <c r="G97" s="185">
        <f t="shared" si="4"/>
        <v>0.8092832962398968</v>
      </c>
      <c r="H97" s="168"/>
    </row>
    <row r="98" spans="1:8" s="20" customFormat="1" ht="25.5">
      <c r="A98" s="77" t="s">
        <v>33</v>
      </c>
      <c r="B98" s="71" t="s">
        <v>85</v>
      </c>
      <c r="C98" s="71" t="s">
        <v>86</v>
      </c>
      <c r="D98" s="71" t="s">
        <v>34</v>
      </c>
      <c r="E98" s="69">
        <f>E99</f>
        <v>94.3</v>
      </c>
      <c r="F98" s="175">
        <f>F99</f>
        <v>20.11485</v>
      </c>
      <c r="G98" s="185">
        <f t="shared" si="4"/>
        <v>0.21330699893955463</v>
      </c>
      <c r="H98" s="168"/>
    </row>
    <row r="99" spans="1:8" s="20" customFormat="1" ht="25.5">
      <c r="A99" s="77" t="s">
        <v>35</v>
      </c>
      <c r="B99" s="71" t="s">
        <v>85</v>
      </c>
      <c r="C99" s="71" t="s">
        <v>86</v>
      </c>
      <c r="D99" s="71" t="s">
        <v>36</v>
      </c>
      <c r="E99" s="69">
        <v>94.3</v>
      </c>
      <c r="F99" s="175">
        <v>20.11485</v>
      </c>
      <c r="G99" s="185">
        <f t="shared" si="4"/>
        <v>0.21330699893955463</v>
      </c>
      <c r="H99" s="168"/>
    </row>
    <row r="100" spans="1:8" s="20" customFormat="1" ht="27">
      <c r="A100" s="72" t="s">
        <v>88</v>
      </c>
      <c r="B100" s="61" t="s">
        <v>89</v>
      </c>
      <c r="C100" s="61"/>
      <c r="D100" s="61"/>
      <c r="E100" s="25">
        <f>E101</f>
        <v>226.10000000000002</v>
      </c>
      <c r="F100" s="176">
        <f>F101</f>
        <v>152.8184</v>
      </c>
      <c r="G100" s="185">
        <f t="shared" si="4"/>
        <v>0.6758885448916407</v>
      </c>
      <c r="H100" s="168"/>
    </row>
    <row r="101" spans="1:8" s="64" customFormat="1" ht="52.5" customHeight="1">
      <c r="A101" s="75" t="s">
        <v>62</v>
      </c>
      <c r="B101" s="71" t="s">
        <v>90</v>
      </c>
      <c r="C101" s="68" t="s">
        <v>63</v>
      </c>
      <c r="D101" s="62"/>
      <c r="E101" s="69">
        <f>E105+E102+E108+E111</f>
        <v>226.10000000000002</v>
      </c>
      <c r="F101" s="175">
        <f>F105+F102+F108+F111</f>
        <v>152.8184</v>
      </c>
      <c r="G101" s="185">
        <f t="shared" si="4"/>
        <v>0.6758885448916407</v>
      </c>
      <c r="H101" s="168"/>
    </row>
    <row r="102" spans="1:8" s="64" customFormat="1" ht="12.75">
      <c r="A102" s="80" t="s">
        <v>91</v>
      </c>
      <c r="B102" s="71" t="s">
        <v>92</v>
      </c>
      <c r="C102" s="68" t="s">
        <v>93</v>
      </c>
      <c r="D102" s="71"/>
      <c r="E102" s="69">
        <f>E103</f>
        <v>7.500000000000011</v>
      </c>
      <c r="F102" s="175">
        <f>F103</f>
        <v>0</v>
      </c>
      <c r="G102" s="185">
        <f t="shared" si="4"/>
        <v>0</v>
      </c>
      <c r="H102" s="168"/>
    </row>
    <row r="103" spans="1:8" s="64" customFormat="1" ht="25.5">
      <c r="A103" s="77" t="s">
        <v>33</v>
      </c>
      <c r="B103" s="71" t="s">
        <v>92</v>
      </c>
      <c r="C103" s="68" t="s">
        <v>93</v>
      </c>
      <c r="D103" s="71" t="s">
        <v>34</v>
      </c>
      <c r="E103" s="69">
        <f>E104</f>
        <v>7.500000000000011</v>
      </c>
      <c r="F103" s="175">
        <f>F104</f>
        <v>0</v>
      </c>
      <c r="G103" s="185">
        <f t="shared" si="4"/>
        <v>0</v>
      </c>
      <c r="H103" s="168"/>
    </row>
    <row r="104" spans="1:8" s="64" customFormat="1" ht="25.5">
      <c r="A104" s="77" t="s">
        <v>35</v>
      </c>
      <c r="B104" s="71" t="s">
        <v>92</v>
      </c>
      <c r="C104" s="68" t="s">
        <v>93</v>
      </c>
      <c r="D104" s="71" t="s">
        <v>36</v>
      </c>
      <c r="E104" s="69">
        <f>330.8-320-1.8-1.5</f>
        <v>7.500000000000011</v>
      </c>
      <c r="F104" s="175">
        <v>0</v>
      </c>
      <c r="G104" s="185">
        <f t="shared" si="4"/>
        <v>0</v>
      </c>
      <c r="H104" s="168"/>
    </row>
    <row r="105" spans="1:8" s="20" customFormat="1" ht="38.25">
      <c r="A105" s="79" t="s">
        <v>94</v>
      </c>
      <c r="B105" s="71" t="s">
        <v>92</v>
      </c>
      <c r="C105" s="68" t="s">
        <v>95</v>
      </c>
      <c r="D105" s="68"/>
      <c r="E105" s="38">
        <f>E106</f>
        <v>33.099999999999994</v>
      </c>
      <c r="F105" s="178">
        <f>F106</f>
        <v>9</v>
      </c>
      <c r="G105" s="185">
        <f t="shared" si="4"/>
        <v>0.27190332326283995</v>
      </c>
      <c r="H105" s="168"/>
    </row>
    <row r="106" spans="1:8" s="20" customFormat="1" ht="25.5">
      <c r="A106" s="77" t="s">
        <v>33</v>
      </c>
      <c r="B106" s="71" t="s">
        <v>92</v>
      </c>
      <c r="C106" s="68" t="s">
        <v>95</v>
      </c>
      <c r="D106" s="71" t="s">
        <v>34</v>
      </c>
      <c r="E106" s="69">
        <f>E107</f>
        <v>33.099999999999994</v>
      </c>
      <c r="F106" s="175">
        <f>F107</f>
        <v>9</v>
      </c>
      <c r="G106" s="185">
        <f t="shared" si="4"/>
        <v>0.27190332326283995</v>
      </c>
      <c r="H106" s="168"/>
    </row>
    <row r="107" spans="1:8" s="20" customFormat="1" ht="25.5">
      <c r="A107" s="77" t="s">
        <v>35</v>
      </c>
      <c r="B107" s="71" t="s">
        <v>92</v>
      </c>
      <c r="C107" s="68" t="s">
        <v>95</v>
      </c>
      <c r="D107" s="71" t="s">
        <v>36</v>
      </c>
      <c r="E107" s="69">
        <f>92.3-66.2-13+70+1.5-76+57-32.5</f>
        <v>33.099999999999994</v>
      </c>
      <c r="F107" s="175">
        <v>9</v>
      </c>
      <c r="G107" s="185">
        <f t="shared" si="4"/>
        <v>0.27190332326283995</v>
      </c>
      <c r="H107" s="168"/>
    </row>
    <row r="108" spans="1:8" s="20" customFormat="1" ht="12.75">
      <c r="A108" s="80" t="s">
        <v>96</v>
      </c>
      <c r="B108" s="71" t="s">
        <v>97</v>
      </c>
      <c r="C108" s="68" t="s">
        <v>98</v>
      </c>
      <c r="D108" s="71"/>
      <c r="E108" s="69">
        <f>E109</f>
        <v>132.2</v>
      </c>
      <c r="F108" s="175">
        <f>F109</f>
        <v>118.6</v>
      </c>
      <c r="G108" s="185">
        <f t="shared" si="4"/>
        <v>0.897125567322239</v>
      </c>
      <c r="H108" s="168"/>
    </row>
    <row r="109" spans="1:8" s="20" customFormat="1" ht="25.5">
      <c r="A109" s="77" t="s">
        <v>33</v>
      </c>
      <c r="B109" s="71" t="s">
        <v>97</v>
      </c>
      <c r="C109" s="68" t="s">
        <v>98</v>
      </c>
      <c r="D109" s="71" t="s">
        <v>34</v>
      </c>
      <c r="E109" s="69">
        <f>E110</f>
        <v>132.2</v>
      </c>
      <c r="F109" s="175">
        <f>F110</f>
        <v>118.6</v>
      </c>
      <c r="G109" s="185">
        <f t="shared" si="4"/>
        <v>0.897125567322239</v>
      </c>
      <c r="H109" s="168"/>
    </row>
    <row r="110" spans="1:8" s="20" customFormat="1" ht="25.5">
      <c r="A110" s="77" t="s">
        <v>35</v>
      </c>
      <c r="B110" s="71" t="s">
        <v>97</v>
      </c>
      <c r="C110" s="68" t="s">
        <v>98</v>
      </c>
      <c r="D110" s="71" t="s">
        <v>36</v>
      </c>
      <c r="E110" s="69">
        <f>99.7+32.5</f>
        <v>132.2</v>
      </c>
      <c r="F110" s="175">
        <v>118.6</v>
      </c>
      <c r="G110" s="185">
        <f t="shared" si="4"/>
        <v>0.897125567322239</v>
      </c>
      <c r="H110" s="168"/>
    </row>
    <row r="111" spans="1:8" s="20" customFormat="1" ht="34.5" customHeight="1">
      <c r="A111" s="80" t="s">
        <v>99</v>
      </c>
      <c r="B111" s="71" t="s">
        <v>97</v>
      </c>
      <c r="C111" s="68" t="s">
        <v>100</v>
      </c>
      <c r="D111" s="71"/>
      <c r="E111" s="69">
        <f>E112</f>
        <v>53.3</v>
      </c>
      <c r="F111" s="175">
        <f>F112</f>
        <v>25.2184</v>
      </c>
      <c r="G111" s="185">
        <f t="shared" si="4"/>
        <v>0.473140712945591</v>
      </c>
      <c r="H111" s="168"/>
    </row>
    <row r="112" spans="1:8" s="20" customFormat="1" ht="25.5">
      <c r="A112" s="77" t="s">
        <v>33</v>
      </c>
      <c r="B112" s="71" t="s">
        <v>97</v>
      </c>
      <c r="C112" s="68" t="s">
        <v>100</v>
      </c>
      <c r="D112" s="71" t="s">
        <v>34</v>
      </c>
      <c r="E112" s="69">
        <f>E113</f>
        <v>53.3</v>
      </c>
      <c r="F112" s="175">
        <f>F113</f>
        <v>25.2184</v>
      </c>
      <c r="G112" s="185">
        <f t="shared" si="4"/>
        <v>0.473140712945591</v>
      </c>
      <c r="H112" s="168"/>
    </row>
    <row r="113" spans="1:8" s="20" customFormat="1" ht="25.5">
      <c r="A113" s="77" t="s">
        <v>35</v>
      </c>
      <c r="B113" s="71" t="s">
        <v>97</v>
      </c>
      <c r="C113" s="68" t="s">
        <v>100</v>
      </c>
      <c r="D113" s="71" t="s">
        <v>36</v>
      </c>
      <c r="E113" s="69">
        <v>53.3</v>
      </c>
      <c r="F113" s="175">
        <v>25.2184</v>
      </c>
      <c r="G113" s="185">
        <f t="shared" si="4"/>
        <v>0.473140712945591</v>
      </c>
      <c r="H113" s="168"/>
    </row>
    <row r="114" spans="1:8" s="64" customFormat="1" ht="13.5">
      <c r="A114" s="72" t="s">
        <v>101</v>
      </c>
      <c r="B114" s="61" t="s">
        <v>102</v>
      </c>
      <c r="C114" s="62"/>
      <c r="D114" s="62"/>
      <c r="E114" s="78">
        <f>E115+E146+E138</f>
        <v>98519.3106</v>
      </c>
      <c r="F114" s="179">
        <f>F115+F146+F138</f>
        <v>48969.42373</v>
      </c>
      <c r="G114" s="185">
        <f t="shared" si="4"/>
        <v>0.4970540641399901</v>
      </c>
      <c r="H114" s="168"/>
    </row>
    <row r="115" spans="1:8" s="64" customFormat="1" ht="13.5">
      <c r="A115" s="81" t="s">
        <v>103</v>
      </c>
      <c r="B115" s="71" t="s">
        <v>104</v>
      </c>
      <c r="C115" s="62"/>
      <c r="D115" s="62"/>
      <c r="E115" s="78">
        <f>E116+E128</f>
        <v>98094.2806</v>
      </c>
      <c r="F115" s="179">
        <f>F116+F128</f>
        <v>48675.31673</v>
      </c>
      <c r="G115" s="185">
        <f t="shared" si="4"/>
        <v>0.49620952855023026</v>
      </c>
      <c r="H115" s="168"/>
    </row>
    <row r="116" spans="1:8" s="64" customFormat="1" ht="51">
      <c r="A116" s="28" t="s">
        <v>105</v>
      </c>
      <c r="B116" s="71" t="s">
        <v>104</v>
      </c>
      <c r="C116" s="68" t="s">
        <v>106</v>
      </c>
      <c r="D116" s="62"/>
      <c r="E116" s="25">
        <f>E117</f>
        <v>86096.31999999999</v>
      </c>
      <c r="F116" s="176">
        <f>F117</f>
        <v>41810.80208</v>
      </c>
      <c r="G116" s="185">
        <f t="shared" si="4"/>
        <v>0.4856282136100591</v>
      </c>
      <c r="H116" s="168"/>
    </row>
    <row r="117" spans="1:8" s="64" customFormat="1" ht="25.5">
      <c r="A117" s="79" t="s">
        <v>107</v>
      </c>
      <c r="B117" s="71" t="s">
        <v>104</v>
      </c>
      <c r="C117" s="68" t="s">
        <v>106</v>
      </c>
      <c r="D117" s="71"/>
      <c r="E117" s="69">
        <f>E118+E122+E125+E120</f>
        <v>86096.31999999999</v>
      </c>
      <c r="F117" s="175">
        <f>F118+F122+F125+F120</f>
        <v>41810.80208</v>
      </c>
      <c r="G117" s="185">
        <f t="shared" si="4"/>
        <v>0.4856282136100591</v>
      </c>
      <c r="H117" s="168"/>
    </row>
    <row r="118" spans="1:8" s="64" customFormat="1" ht="12.75">
      <c r="A118" s="77" t="s">
        <v>108</v>
      </c>
      <c r="B118" s="71" t="s">
        <v>104</v>
      </c>
      <c r="C118" s="68" t="s">
        <v>109</v>
      </c>
      <c r="D118" s="71" t="s">
        <v>34</v>
      </c>
      <c r="E118" s="69">
        <f>E119</f>
        <v>45644.429999999986</v>
      </c>
      <c r="F118" s="175">
        <f>F119</f>
        <v>7191.01927</v>
      </c>
      <c r="G118" s="185">
        <f t="shared" si="4"/>
        <v>0.15754428897458028</v>
      </c>
      <c r="H118" s="168"/>
    </row>
    <row r="119" spans="1:8" s="64" customFormat="1" ht="25.5">
      <c r="A119" s="77" t="s">
        <v>33</v>
      </c>
      <c r="B119" s="71" t="s">
        <v>104</v>
      </c>
      <c r="C119" s="68" t="s">
        <v>109</v>
      </c>
      <c r="D119" s="71" t="s">
        <v>36</v>
      </c>
      <c r="E119" s="69">
        <f>8645.3+6490.4-700-1324.4-6100.6+200+120+2035.3+50000+15976.9-8610.8-9478.4-500-7398-1373.9-1638-70-500-50-25-54.37</f>
        <v>45644.429999999986</v>
      </c>
      <c r="F119" s="175">
        <v>7191.01927</v>
      </c>
      <c r="G119" s="185">
        <f t="shared" si="4"/>
        <v>0.15754428897458028</v>
      </c>
      <c r="H119" s="168"/>
    </row>
    <row r="120" spans="1:8" s="64" customFormat="1" ht="12.75">
      <c r="A120" s="77" t="s">
        <v>37</v>
      </c>
      <c r="B120" s="71" t="s">
        <v>104</v>
      </c>
      <c r="C120" s="68" t="s">
        <v>109</v>
      </c>
      <c r="D120" s="71" t="s">
        <v>38</v>
      </c>
      <c r="E120" s="69">
        <f>E121</f>
        <v>200</v>
      </c>
      <c r="F120" s="175">
        <f>F121</f>
        <v>150</v>
      </c>
      <c r="G120" s="185">
        <f t="shared" si="4"/>
        <v>0.75</v>
      </c>
      <c r="H120" s="168"/>
    </row>
    <row r="121" spans="1:8" s="64" customFormat="1" ht="12.75">
      <c r="A121" s="77" t="s">
        <v>39</v>
      </c>
      <c r="B121" s="71" t="s">
        <v>104</v>
      </c>
      <c r="C121" s="68" t="s">
        <v>109</v>
      </c>
      <c r="D121" s="71" t="s">
        <v>40</v>
      </c>
      <c r="E121" s="69">
        <v>200</v>
      </c>
      <c r="F121" s="175">
        <v>150</v>
      </c>
      <c r="G121" s="185">
        <f t="shared" si="4"/>
        <v>0.75</v>
      </c>
      <c r="H121" s="168"/>
    </row>
    <row r="122" spans="1:8" s="20" customFormat="1" ht="12.75">
      <c r="A122" s="77" t="s">
        <v>110</v>
      </c>
      <c r="B122" s="71" t="s">
        <v>104</v>
      </c>
      <c r="C122" s="68" t="s">
        <v>111</v>
      </c>
      <c r="D122" s="71"/>
      <c r="E122" s="69">
        <f>E123</f>
        <v>28534.76</v>
      </c>
      <c r="F122" s="175">
        <f>F123</f>
        <v>22862.53303</v>
      </c>
      <c r="G122" s="185">
        <f t="shared" si="4"/>
        <v>0.8012169378680599</v>
      </c>
      <c r="H122" s="168"/>
    </row>
    <row r="123" spans="1:8" s="20" customFormat="1" ht="25.5">
      <c r="A123" s="77" t="s">
        <v>33</v>
      </c>
      <c r="B123" s="71" t="s">
        <v>104</v>
      </c>
      <c r="C123" s="68" t="s">
        <v>111</v>
      </c>
      <c r="D123" s="71" t="s">
        <v>34</v>
      </c>
      <c r="E123" s="69">
        <f>E124</f>
        <v>28534.76</v>
      </c>
      <c r="F123" s="175">
        <f>F124</f>
        <v>22862.53303</v>
      </c>
      <c r="G123" s="185">
        <f t="shared" si="4"/>
        <v>0.8012169378680599</v>
      </c>
      <c r="H123" s="168"/>
    </row>
    <row r="124" spans="1:8" s="20" customFormat="1" ht="25.5">
      <c r="A124" s="77" t="s">
        <v>35</v>
      </c>
      <c r="B124" s="71" t="s">
        <v>104</v>
      </c>
      <c r="C124" s="68" t="s">
        <v>111</v>
      </c>
      <c r="D124" s="71" t="s">
        <v>36</v>
      </c>
      <c r="E124" s="69">
        <f>28019.1-2730+2877.73+546.73-78.8-100</f>
        <v>28534.76</v>
      </c>
      <c r="F124" s="175">
        <v>22862.53303</v>
      </c>
      <c r="G124" s="185">
        <f t="shared" si="4"/>
        <v>0.8012169378680599</v>
      </c>
      <c r="H124" s="168"/>
    </row>
    <row r="125" spans="1:9" s="20" customFormat="1" ht="64.5" customHeight="1">
      <c r="A125" s="77" t="s">
        <v>112</v>
      </c>
      <c r="B125" s="71" t="s">
        <v>104</v>
      </c>
      <c r="C125" s="68" t="s">
        <v>113</v>
      </c>
      <c r="D125" s="71"/>
      <c r="E125" s="69">
        <f>E126</f>
        <v>11717.13</v>
      </c>
      <c r="F125" s="175">
        <f>F126</f>
        <v>11607.24978</v>
      </c>
      <c r="G125" s="185">
        <f t="shared" si="4"/>
        <v>0.990622258180971</v>
      </c>
      <c r="H125" s="168"/>
      <c r="I125" s="82"/>
    </row>
    <row r="126" spans="1:8" s="20" customFormat="1" ht="25.5">
      <c r="A126" s="77" t="s">
        <v>33</v>
      </c>
      <c r="B126" s="71" t="s">
        <v>104</v>
      </c>
      <c r="C126" s="68" t="s">
        <v>113</v>
      </c>
      <c r="D126" s="71" t="s">
        <v>34</v>
      </c>
      <c r="E126" s="69">
        <f>E127</f>
        <v>11717.13</v>
      </c>
      <c r="F126" s="175">
        <f>F127</f>
        <v>11607.24978</v>
      </c>
      <c r="G126" s="185">
        <f t="shared" si="4"/>
        <v>0.990622258180971</v>
      </c>
      <c r="H126" s="168"/>
    </row>
    <row r="127" spans="1:8" s="20" customFormat="1" ht="25.5">
      <c r="A127" s="77" t="s">
        <v>35</v>
      </c>
      <c r="B127" s="71" t="s">
        <v>104</v>
      </c>
      <c r="C127" s="68" t="s">
        <v>113</v>
      </c>
      <c r="D127" s="71" t="s">
        <v>36</v>
      </c>
      <c r="E127" s="69">
        <f>11410+649.13-342</f>
        <v>11717.13</v>
      </c>
      <c r="F127" s="175">
        <v>11607.24978</v>
      </c>
      <c r="G127" s="185">
        <f t="shared" si="4"/>
        <v>0.990622258180971</v>
      </c>
      <c r="H127" s="168"/>
    </row>
    <row r="128" spans="1:8" s="20" customFormat="1" ht="51">
      <c r="A128" s="77" t="s">
        <v>114</v>
      </c>
      <c r="B128" s="71" t="s">
        <v>104</v>
      </c>
      <c r="C128" s="71" t="s">
        <v>115</v>
      </c>
      <c r="D128" s="71"/>
      <c r="E128" s="69">
        <f>E129</f>
        <v>11997.9606</v>
      </c>
      <c r="F128" s="175">
        <f>F129</f>
        <v>6864.51465</v>
      </c>
      <c r="G128" s="185">
        <f t="shared" si="4"/>
        <v>0.5721401227138552</v>
      </c>
      <c r="H128" s="168"/>
    </row>
    <row r="129" spans="1:8" s="20" customFormat="1" ht="12.75">
      <c r="A129" s="77" t="s">
        <v>116</v>
      </c>
      <c r="B129" s="71" t="s">
        <v>104</v>
      </c>
      <c r="C129" s="71" t="s">
        <v>117</v>
      </c>
      <c r="D129" s="71"/>
      <c r="E129" s="69">
        <f>E130</f>
        <v>11997.9606</v>
      </c>
      <c r="F129" s="175">
        <f>F130</f>
        <v>6864.51465</v>
      </c>
      <c r="G129" s="185">
        <f t="shared" si="4"/>
        <v>0.5721401227138552</v>
      </c>
      <c r="H129" s="168"/>
    </row>
    <row r="130" spans="1:8" s="20" customFormat="1" ht="25.5">
      <c r="A130" s="83" t="s">
        <v>118</v>
      </c>
      <c r="B130" s="71" t="s">
        <v>104</v>
      </c>
      <c r="C130" s="71" t="s">
        <v>119</v>
      </c>
      <c r="D130" s="71"/>
      <c r="E130" s="69">
        <f>E131+E134</f>
        <v>11997.9606</v>
      </c>
      <c r="F130" s="175">
        <f>F131+F134</f>
        <v>6864.51465</v>
      </c>
      <c r="G130" s="185">
        <f t="shared" si="4"/>
        <v>0.5721401227138552</v>
      </c>
      <c r="H130" s="168"/>
    </row>
    <row r="131" spans="1:8" s="20" customFormat="1" ht="12.75">
      <c r="A131" s="77" t="s">
        <v>120</v>
      </c>
      <c r="B131" s="71" t="s">
        <v>104</v>
      </c>
      <c r="C131" s="71" t="s">
        <v>121</v>
      </c>
      <c r="D131" s="71"/>
      <c r="E131" s="69">
        <f>E132</f>
        <v>4968.2706</v>
      </c>
      <c r="F131" s="175">
        <f>F132</f>
        <v>0</v>
      </c>
      <c r="G131" s="185">
        <f t="shared" si="4"/>
        <v>0</v>
      </c>
      <c r="H131" s="168"/>
    </row>
    <row r="132" spans="1:8" s="20" customFormat="1" ht="25.5">
      <c r="A132" s="77" t="s">
        <v>33</v>
      </c>
      <c r="B132" s="71" t="s">
        <v>104</v>
      </c>
      <c r="C132" s="71" t="s">
        <v>121</v>
      </c>
      <c r="D132" s="71" t="s">
        <v>34</v>
      </c>
      <c r="E132" s="69">
        <f>E133</f>
        <v>4968.2706</v>
      </c>
      <c r="F132" s="175">
        <f>F133</f>
        <v>0</v>
      </c>
      <c r="G132" s="185">
        <f t="shared" si="4"/>
        <v>0</v>
      </c>
      <c r="H132" s="168"/>
    </row>
    <row r="133" spans="1:8" s="20" customFormat="1" ht="25.5">
      <c r="A133" s="77" t="s">
        <v>35</v>
      </c>
      <c r="B133" s="71" t="s">
        <v>104</v>
      </c>
      <c r="C133" s="71" t="s">
        <v>121</v>
      </c>
      <c r="D133" s="71" t="s">
        <v>36</v>
      </c>
      <c r="E133" s="69">
        <f>800+4500-331.7294</f>
        <v>4968.2706</v>
      </c>
      <c r="F133" s="175">
        <v>0</v>
      </c>
      <c r="G133" s="185">
        <f t="shared" si="4"/>
        <v>0</v>
      </c>
      <c r="H133" s="168"/>
    </row>
    <row r="134" spans="1:8" s="20" customFormat="1" ht="25.5">
      <c r="A134" s="77" t="s">
        <v>122</v>
      </c>
      <c r="B134" s="71" t="s">
        <v>123</v>
      </c>
      <c r="C134" s="71" t="s">
        <v>124</v>
      </c>
      <c r="D134" s="71"/>
      <c r="E134" s="69">
        <f aca="true" t="shared" si="6" ref="E134:F136">E135</f>
        <v>7029.6900000000005</v>
      </c>
      <c r="F134" s="175">
        <f t="shared" si="6"/>
        <v>6864.51465</v>
      </c>
      <c r="G134" s="185">
        <f t="shared" si="4"/>
        <v>0.97650318150587</v>
      </c>
      <c r="H134" s="168"/>
    </row>
    <row r="135" spans="1:9" s="20" customFormat="1" ht="22.5" customHeight="1">
      <c r="A135" s="77" t="s">
        <v>125</v>
      </c>
      <c r="B135" s="71" t="s">
        <v>104</v>
      </c>
      <c r="C135" s="71" t="s">
        <v>126</v>
      </c>
      <c r="D135" s="71"/>
      <c r="E135" s="69">
        <f t="shared" si="6"/>
        <v>7029.6900000000005</v>
      </c>
      <c r="F135" s="175">
        <f t="shared" si="6"/>
        <v>6864.51465</v>
      </c>
      <c r="G135" s="185">
        <f t="shared" si="4"/>
        <v>0.97650318150587</v>
      </c>
      <c r="H135" s="168"/>
      <c r="I135" s="82"/>
    </row>
    <row r="136" spans="1:9" s="20" customFormat="1" ht="25.5">
      <c r="A136" s="77" t="s">
        <v>33</v>
      </c>
      <c r="B136" s="71" t="s">
        <v>104</v>
      </c>
      <c r="C136" s="71" t="s">
        <v>126</v>
      </c>
      <c r="D136" s="71" t="s">
        <v>34</v>
      </c>
      <c r="E136" s="69">
        <f t="shared" si="6"/>
        <v>7029.6900000000005</v>
      </c>
      <c r="F136" s="175">
        <f t="shared" si="6"/>
        <v>6864.51465</v>
      </c>
      <c r="G136" s="185">
        <f t="shared" si="4"/>
        <v>0.97650318150587</v>
      </c>
      <c r="H136" s="168"/>
      <c r="I136" s="82"/>
    </row>
    <row r="137" spans="1:9" s="20" customFormat="1" ht="25.5">
      <c r="A137" s="77" t="s">
        <v>35</v>
      </c>
      <c r="B137" s="71" t="s">
        <v>104</v>
      </c>
      <c r="C137" s="71" t="s">
        <v>126</v>
      </c>
      <c r="D137" s="71" t="s">
        <v>36</v>
      </c>
      <c r="E137" s="69">
        <f>2759.13+2962.46+1308.1</f>
        <v>7029.6900000000005</v>
      </c>
      <c r="F137" s="175">
        <v>6864.51465</v>
      </c>
      <c r="G137" s="185">
        <f t="shared" si="4"/>
        <v>0.97650318150587</v>
      </c>
      <c r="H137" s="168"/>
      <c r="I137" s="82"/>
    </row>
    <row r="138" spans="1:8" s="20" customFormat="1" ht="13.5">
      <c r="A138" s="72" t="s">
        <v>127</v>
      </c>
      <c r="B138" s="62" t="s">
        <v>128</v>
      </c>
      <c r="C138" s="62"/>
      <c r="D138" s="71"/>
      <c r="E138" s="69">
        <f>E140</f>
        <v>225.03</v>
      </c>
      <c r="F138" s="175">
        <f>F140</f>
        <v>217.107</v>
      </c>
      <c r="G138" s="185">
        <f t="shared" si="4"/>
        <v>0.9647913611518464</v>
      </c>
      <c r="H138" s="168"/>
    </row>
    <row r="139" spans="1:8" s="20" customFormat="1" ht="51">
      <c r="A139" s="77" t="s">
        <v>114</v>
      </c>
      <c r="B139" s="71" t="s">
        <v>128</v>
      </c>
      <c r="C139" s="71" t="s">
        <v>115</v>
      </c>
      <c r="D139" s="71"/>
      <c r="E139" s="69">
        <f aca="true" t="shared" si="7" ref="E139:F144">E140</f>
        <v>225.03</v>
      </c>
      <c r="F139" s="175">
        <f t="shared" si="7"/>
        <v>217.107</v>
      </c>
      <c r="G139" s="185">
        <f t="shared" si="4"/>
        <v>0.9647913611518464</v>
      </c>
      <c r="H139" s="168"/>
    </row>
    <row r="140" spans="1:8" s="20" customFormat="1" ht="25.5">
      <c r="A140" s="77" t="s">
        <v>129</v>
      </c>
      <c r="B140" s="71" t="s">
        <v>128</v>
      </c>
      <c r="C140" s="71" t="s">
        <v>130</v>
      </c>
      <c r="D140" s="71"/>
      <c r="E140" s="69">
        <f t="shared" si="7"/>
        <v>225.03</v>
      </c>
      <c r="F140" s="175">
        <f t="shared" si="7"/>
        <v>217.107</v>
      </c>
      <c r="G140" s="185">
        <f t="shared" si="4"/>
        <v>0.9647913611518464</v>
      </c>
      <c r="H140" s="168"/>
    </row>
    <row r="141" spans="1:8" s="20" customFormat="1" ht="38.25">
      <c r="A141" s="83" t="s">
        <v>131</v>
      </c>
      <c r="B141" s="71" t="s">
        <v>128</v>
      </c>
      <c r="C141" s="71" t="s">
        <v>132</v>
      </c>
      <c r="D141" s="71"/>
      <c r="E141" s="69">
        <f t="shared" si="7"/>
        <v>225.03</v>
      </c>
      <c r="F141" s="175">
        <f t="shared" si="7"/>
        <v>217.107</v>
      </c>
      <c r="G141" s="185">
        <f aca="true" t="shared" si="8" ref="G141:G204">F141/E141</f>
        <v>0.9647913611518464</v>
      </c>
      <c r="H141" s="168"/>
    </row>
    <row r="142" spans="1:8" s="20" customFormat="1" ht="25.5">
      <c r="A142" s="77" t="s">
        <v>133</v>
      </c>
      <c r="B142" s="71" t="s">
        <v>128</v>
      </c>
      <c r="C142" s="71" t="s">
        <v>134</v>
      </c>
      <c r="D142" s="71"/>
      <c r="E142" s="69">
        <f t="shared" si="7"/>
        <v>225.03</v>
      </c>
      <c r="F142" s="175">
        <f t="shared" si="7"/>
        <v>217.107</v>
      </c>
      <c r="G142" s="185">
        <f t="shared" si="8"/>
        <v>0.9647913611518464</v>
      </c>
      <c r="H142" s="168"/>
    </row>
    <row r="143" spans="1:8" s="20" customFormat="1" ht="36" customHeight="1">
      <c r="A143" s="77" t="s">
        <v>135</v>
      </c>
      <c r="B143" s="71" t="s">
        <v>128</v>
      </c>
      <c r="C143" s="71" t="s">
        <v>136</v>
      </c>
      <c r="D143" s="71"/>
      <c r="E143" s="69">
        <f t="shared" si="7"/>
        <v>225.03</v>
      </c>
      <c r="F143" s="175">
        <f t="shared" si="7"/>
        <v>217.107</v>
      </c>
      <c r="G143" s="185">
        <f t="shared" si="8"/>
        <v>0.9647913611518464</v>
      </c>
      <c r="H143" s="168"/>
    </row>
    <row r="144" spans="1:8" s="20" customFormat="1" ht="25.5">
      <c r="A144" s="28" t="s">
        <v>33</v>
      </c>
      <c r="B144" s="71" t="s">
        <v>128</v>
      </c>
      <c r="C144" s="71" t="s">
        <v>136</v>
      </c>
      <c r="D144" s="71" t="s">
        <v>34</v>
      </c>
      <c r="E144" s="69">
        <f t="shared" si="7"/>
        <v>225.03</v>
      </c>
      <c r="F144" s="175">
        <f t="shared" si="7"/>
        <v>217.107</v>
      </c>
      <c r="G144" s="185">
        <f t="shared" si="8"/>
        <v>0.9647913611518464</v>
      </c>
      <c r="H144" s="168"/>
    </row>
    <row r="145" spans="1:8" s="20" customFormat="1" ht="25.5">
      <c r="A145" s="28" t="s">
        <v>35</v>
      </c>
      <c r="B145" s="71" t="s">
        <v>128</v>
      </c>
      <c r="C145" s="71" t="s">
        <v>136</v>
      </c>
      <c r="D145" s="71" t="s">
        <v>36</v>
      </c>
      <c r="E145" s="69">
        <v>225.03</v>
      </c>
      <c r="F145" s="175">
        <v>217.107</v>
      </c>
      <c r="G145" s="185">
        <f t="shared" si="8"/>
        <v>0.9647913611518464</v>
      </c>
      <c r="H145" s="168"/>
    </row>
    <row r="146" spans="1:8" s="20" customFormat="1" ht="13.5">
      <c r="A146" s="72" t="s">
        <v>137</v>
      </c>
      <c r="B146" s="71" t="s">
        <v>138</v>
      </c>
      <c r="C146" s="68"/>
      <c r="D146" s="71"/>
      <c r="E146" s="25">
        <f aca="true" t="shared" si="9" ref="E146:F149">E147</f>
        <v>200</v>
      </c>
      <c r="F146" s="176">
        <f t="shared" si="9"/>
        <v>77</v>
      </c>
      <c r="G146" s="185">
        <f t="shared" si="8"/>
        <v>0.385</v>
      </c>
      <c r="H146" s="168"/>
    </row>
    <row r="147" spans="1:8" s="20" customFormat="1" ht="38.25">
      <c r="A147" s="28" t="s">
        <v>68</v>
      </c>
      <c r="B147" s="71" t="s">
        <v>138</v>
      </c>
      <c r="C147" s="71" t="s">
        <v>139</v>
      </c>
      <c r="D147" s="71"/>
      <c r="E147" s="69">
        <f t="shared" si="9"/>
        <v>200</v>
      </c>
      <c r="F147" s="175">
        <f t="shared" si="9"/>
        <v>77</v>
      </c>
      <c r="G147" s="185">
        <f t="shared" si="8"/>
        <v>0.385</v>
      </c>
      <c r="H147" s="168"/>
    </row>
    <row r="148" spans="1:8" s="20" customFormat="1" ht="25.5">
      <c r="A148" s="67" t="s">
        <v>140</v>
      </c>
      <c r="B148" s="71" t="s">
        <v>138</v>
      </c>
      <c r="C148" s="71" t="s">
        <v>141</v>
      </c>
      <c r="D148" s="71"/>
      <c r="E148" s="69">
        <f t="shared" si="9"/>
        <v>200</v>
      </c>
      <c r="F148" s="175">
        <f t="shared" si="9"/>
        <v>77</v>
      </c>
      <c r="G148" s="185">
        <f t="shared" si="8"/>
        <v>0.385</v>
      </c>
      <c r="H148" s="168"/>
    </row>
    <row r="149" spans="1:8" s="20" customFormat="1" ht="25.5">
      <c r="A149" s="28" t="s">
        <v>33</v>
      </c>
      <c r="B149" s="71" t="s">
        <v>138</v>
      </c>
      <c r="C149" s="71" t="s">
        <v>141</v>
      </c>
      <c r="D149" s="71" t="s">
        <v>34</v>
      </c>
      <c r="E149" s="69">
        <f t="shared" si="9"/>
        <v>200</v>
      </c>
      <c r="F149" s="175">
        <f t="shared" si="9"/>
        <v>77</v>
      </c>
      <c r="G149" s="185">
        <f t="shared" si="8"/>
        <v>0.385</v>
      </c>
      <c r="H149" s="168"/>
    </row>
    <row r="150" spans="1:8" s="20" customFormat="1" ht="25.5">
      <c r="A150" s="28" t="s">
        <v>35</v>
      </c>
      <c r="B150" s="71" t="s">
        <v>138</v>
      </c>
      <c r="C150" s="71" t="s">
        <v>141</v>
      </c>
      <c r="D150" s="71" t="s">
        <v>36</v>
      </c>
      <c r="E150" s="69">
        <v>200</v>
      </c>
      <c r="F150" s="175">
        <v>77</v>
      </c>
      <c r="G150" s="185">
        <f t="shared" si="8"/>
        <v>0.385</v>
      </c>
      <c r="H150" s="168"/>
    </row>
    <row r="151" spans="1:8" s="64" customFormat="1" ht="13.5">
      <c r="A151" s="72" t="s">
        <v>142</v>
      </c>
      <c r="B151" s="61" t="s">
        <v>143</v>
      </c>
      <c r="C151" s="62"/>
      <c r="D151" s="62"/>
      <c r="E151" s="78">
        <f>E152+E185+E199</f>
        <v>193573.77814</v>
      </c>
      <c r="F151" s="179">
        <f>F152+F185+F199</f>
        <v>120176.83016</v>
      </c>
      <c r="G151" s="185">
        <f t="shared" si="8"/>
        <v>0.6208321773473031</v>
      </c>
      <c r="H151" s="168"/>
    </row>
    <row r="152" spans="1:8" s="64" customFormat="1" ht="13.5">
      <c r="A152" s="81" t="s">
        <v>144</v>
      </c>
      <c r="B152" s="61" t="s">
        <v>145</v>
      </c>
      <c r="C152" s="62"/>
      <c r="D152" s="62"/>
      <c r="E152" s="78">
        <f>E153+E165+E181</f>
        <v>64858.29648999999</v>
      </c>
      <c r="F152" s="179">
        <f>F153+F165+F181</f>
        <v>42768.60696</v>
      </c>
      <c r="G152" s="185">
        <f t="shared" si="8"/>
        <v>0.6594161313902865</v>
      </c>
      <c r="H152" s="168"/>
    </row>
    <row r="153" spans="1:8" s="64" customFormat="1" ht="38.25">
      <c r="A153" s="28" t="s">
        <v>146</v>
      </c>
      <c r="B153" s="71" t="s">
        <v>145</v>
      </c>
      <c r="C153" s="71" t="s">
        <v>147</v>
      </c>
      <c r="D153" s="62"/>
      <c r="E153" s="76">
        <f>E157+E160</f>
        <v>50005.109</v>
      </c>
      <c r="F153" s="174">
        <f>F157+F160</f>
        <v>33628.58818</v>
      </c>
      <c r="G153" s="185">
        <f t="shared" si="8"/>
        <v>0.6725030472386332</v>
      </c>
      <c r="H153" s="168"/>
    </row>
    <row r="154" spans="1:8" s="64" customFormat="1" ht="38.25" hidden="1">
      <c r="A154" s="77" t="s">
        <v>148</v>
      </c>
      <c r="B154" s="71" t="s">
        <v>145</v>
      </c>
      <c r="C154" s="71" t="s">
        <v>149</v>
      </c>
      <c r="D154" s="71"/>
      <c r="E154" s="76">
        <f>E155</f>
        <v>0</v>
      </c>
      <c r="F154" s="174">
        <f>F155</f>
        <v>0</v>
      </c>
      <c r="G154" s="185" t="e">
        <f t="shared" si="8"/>
        <v>#DIV/0!</v>
      </c>
      <c r="H154" s="168"/>
    </row>
    <row r="155" spans="1:8" s="64" customFormat="1" ht="25.5" hidden="1">
      <c r="A155" s="28" t="s">
        <v>33</v>
      </c>
      <c r="B155" s="71" t="s">
        <v>145</v>
      </c>
      <c r="C155" s="71" t="s">
        <v>149</v>
      </c>
      <c r="D155" s="71" t="s">
        <v>36</v>
      </c>
      <c r="E155" s="76">
        <f>E156</f>
        <v>0</v>
      </c>
      <c r="F155" s="174">
        <f>F156</f>
        <v>0</v>
      </c>
      <c r="G155" s="185" t="e">
        <f t="shared" si="8"/>
        <v>#DIV/0!</v>
      </c>
      <c r="H155" s="168"/>
    </row>
    <row r="156" spans="1:8" s="64" customFormat="1" ht="25.5" hidden="1">
      <c r="A156" s="28" t="s">
        <v>35</v>
      </c>
      <c r="B156" s="71" t="s">
        <v>145</v>
      </c>
      <c r="C156" s="71" t="s">
        <v>149</v>
      </c>
      <c r="D156" s="71" t="s">
        <v>36</v>
      </c>
      <c r="E156" s="76">
        <v>0</v>
      </c>
      <c r="F156" s="174">
        <v>0</v>
      </c>
      <c r="G156" s="185" t="e">
        <f t="shared" si="8"/>
        <v>#DIV/0!</v>
      </c>
      <c r="H156" s="168"/>
    </row>
    <row r="157" spans="1:8" s="64" customFormat="1" ht="82.5" customHeight="1">
      <c r="A157" s="77" t="s">
        <v>150</v>
      </c>
      <c r="B157" s="71" t="s">
        <v>145</v>
      </c>
      <c r="C157" s="71" t="s">
        <v>149</v>
      </c>
      <c r="D157" s="71"/>
      <c r="E157" s="76">
        <f>E158</f>
        <v>48005.109</v>
      </c>
      <c r="F157" s="174">
        <v>32980.05526</v>
      </c>
      <c r="G157" s="185">
        <f t="shared" si="8"/>
        <v>0.6870113608116171</v>
      </c>
      <c r="H157" s="168"/>
    </row>
    <row r="158" spans="1:8" s="64" customFormat="1" ht="25.5">
      <c r="A158" s="28" t="s">
        <v>33</v>
      </c>
      <c r="B158" s="71" t="s">
        <v>145</v>
      </c>
      <c r="C158" s="71" t="s">
        <v>149</v>
      </c>
      <c r="D158" s="71" t="s">
        <v>36</v>
      </c>
      <c r="E158" s="76">
        <f>E159</f>
        <v>48005.109</v>
      </c>
      <c r="F158" s="174">
        <f>F159</f>
        <v>32980.05526</v>
      </c>
      <c r="G158" s="185">
        <f t="shared" si="8"/>
        <v>0.6870113608116171</v>
      </c>
      <c r="H158" s="168"/>
    </row>
    <row r="159" spans="1:8" s="64" customFormat="1" ht="25.5">
      <c r="A159" s="28" t="s">
        <v>35</v>
      </c>
      <c r="B159" s="71" t="s">
        <v>145</v>
      </c>
      <c r="C159" s="71" t="s">
        <v>149</v>
      </c>
      <c r="D159" s="71" t="s">
        <v>36</v>
      </c>
      <c r="E159" s="76">
        <v>48005.109</v>
      </c>
      <c r="F159" s="174">
        <v>32980.05526</v>
      </c>
      <c r="G159" s="185">
        <f t="shared" si="8"/>
        <v>0.6870113608116171</v>
      </c>
      <c r="H159" s="168"/>
    </row>
    <row r="160" spans="1:8" s="64" customFormat="1" ht="63.75">
      <c r="A160" s="77" t="s">
        <v>151</v>
      </c>
      <c r="B160" s="71" t="s">
        <v>145</v>
      </c>
      <c r="C160" s="71" t="s">
        <v>152</v>
      </c>
      <c r="D160" s="71"/>
      <c r="E160" s="76">
        <f>E161</f>
        <v>2000</v>
      </c>
      <c r="F160" s="174">
        <f>F161</f>
        <v>648.53292</v>
      </c>
      <c r="G160" s="185">
        <f t="shared" si="8"/>
        <v>0.32426646</v>
      </c>
      <c r="H160" s="168"/>
    </row>
    <row r="161" spans="1:8" s="64" customFormat="1" ht="25.5">
      <c r="A161" s="28" t="s">
        <v>33</v>
      </c>
      <c r="B161" s="71" t="s">
        <v>145</v>
      </c>
      <c r="C161" s="71" t="s">
        <v>152</v>
      </c>
      <c r="D161" s="71" t="s">
        <v>36</v>
      </c>
      <c r="E161" s="76">
        <f>E162</f>
        <v>2000</v>
      </c>
      <c r="F161" s="174">
        <f>F162</f>
        <v>648.53292</v>
      </c>
      <c r="G161" s="185">
        <f t="shared" si="8"/>
        <v>0.32426646</v>
      </c>
      <c r="H161" s="168"/>
    </row>
    <row r="162" spans="1:8" s="64" customFormat="1" ht="25.5">
      <c r="A162" s="28" t="s">
        <v>35</v>
      </c>
      <c r="B162" s="71" t="s">
        <v>145</v>
      </c>
      <c r="C162" s="71" t="s">
        <v>152</v>
      </c>
      <c r="D162" s="71" t="s">
        <v>36</v>
      </c>
      <c r="E162" s="76">
        <f>7000-5000</f>
        <v>2000</v>
      </c>
      <c r="F162" s="174">
        <v>648.53292</v>
      </c>
      <c r="G162" s="185">
        <f t="shared" si="8"/>
        <v>0.32426646</v>
      </c>
      <c r="H162" s="168"/>
    </row>
    <row r="163" spans="1:8" s="64" customFormat="1" ht="38.25" hidden="1">
      <c r="A163" s="77" t="s">
        <v>153</v>
      </c>
      <c r="B163" s="71" t="s">
        <v>145</v>
      </c>
      <c r="C163" s="71" t="s">
        <v>154</v>
      </c>
      <c r="D163" s="71" t="s">
        <v>155</v>
      </c>
      <c r="E163" s="76">
        <f>E164</f>
        <v>0</v>
      </c>
      <c r="F163" s="174">
        <f>F164</f>
        <v>0</v>
      </c>
      <c r="G163" s="185" t="e">
        <f t="shared" si="8"/>
        <v>#DIV/0!</v>
      </c>
      <c r="H163" s="168"/>
    </row>
    <row r="164" spans="1:8" s="64" customFormat="1" ht="12.75" hidden="1">
      <c r="A164" s="77" t="s">
        <v>156</v>
      </c>
      <c r="B164" s="71" t="s">
        <v>145</v>
      </c>
      <c r="C164" s="71" t="s">
        <v>154</v>
      </c>
      <c r="D164" s="71" t="s">
        <v>157</v>
      </c>
      <c r="E164" s="76">
        <v>0</v>
      </c>
      <c r="F164" s="174">
        <v>0</v>
      </c>
      <c r="G164" s="185" t="e">
        <f t="shared" si="8"/>
        <v>#DIV/0!</v>
      </c>
      <c r="H164" s="168"/>
    </row>
    <row r="165" spans="1:8" s="64" customFormat="1" ht="51">
      <c r="A165" s="77" t="s">
        <v>114</v>
      </c>
      <c r="B165" s="71" t="s">
        <v>145</v>
      </c>
      <c r="C165" s="71" t="s">
        <v>115</v>
      </c>
      <c r="D165" s="71"/>
      <c r="E165" s="69">
        <f>E166</f>
        <v>14723.18749</v>
      </c>
      <c r="F165" s="175">
        <f>F166</f>
        <v>9118.51878</v>
      </c>
      <c r="G165" s="185">
        <f t="shared" si="8"/>
        <v>0.6193304803184301</v>
      </c>
      <c r="H165" s="168"/>
    </row>
    <row r="166" spans="1:8" s="64" customFormat="1" ht="38.25">
      <c r="A166" s="77" t="s">
        <v>158</v>
      </c>
      <c r="B166" s="71" t="s">
        <v>145</v>
      </c>
      <c r="C166" s="71" t="s">
        <v>159</v>
      </c>
      <c r="D166" s="71"/>
      <c r="E166" s="69">
        <f>E167+E171+E178</f>
        <v>14723.18749</v>
      </c>
      <c r="F166" s="175">
        <f>F167+F171+F178</f>
        <v>9118.51878</v>
      </c>
      <c r="G166" s="185">
        <f t="shared" si="8"/>
        <v>0.6193304803184301</v>
      </c>
      <c r="H166" s="168"/>
    </row>
    <row r="167" spans="1:8" s="64" customFormat="1" ht="25.5">
      <c r="A167" s="83" t="s">
        <v>160</v>
      </c>
      <c r="B167" s="71" t="s">
        <v>145</v>
      </c>
      <c r="C167" s="71" t="s">
        <v>161</v>
      </c>
      <c r="D167" s="71"/>
      <c r="E167" s="69">
        <f aca="true" t="shared" si="10" ref="E167:F169">E168</f>
        <v>64.48</v>
      </c>
      <c r="F167" s="175">
        <f t="shared" si="10"/>
        <v>0</v>
      </c>
      <c r="G167" s="185">
        <f t="shared" si="8"/>
        <v>0</v>
      </c>
      <c r="H167" s="168"/>
    </row>
    <row r="168" spans="1:8" s="64" customFormat="1" ht="51">
      <c r="A168" s="84" t="s">
        <v>162</v>
      </c>
      <c r="B168" s="71" t="s">
        <v>145</v>
      </c>
      <c r="C168" s="71" t="s">
        <v>163</v>
      </c>
      <c r="D168" s="71"/>
      <c r="E168" s="69">
        <f t="shared" si="10"/>
        <v>64.48</v>
      </c>
      <c r="F168" s="175">
        <f t="shared" si="10"/>
        <v>0</v>
      </c>
      <c r="G168" s="185">
        <f t="shared" si="8"/>
        <v>0</v>
      </c>
      <c r="H168" s="168"/>
    </row>
    <row r="169" spans="1:8" s="64" customFormat="1" ht="25.5">
      <c r="A169" s="77" t="s">
        <v>33</v>
      </c>
      <c r="B169" s="71" t="s">
        <v>145</v>
      </c>
      <c r="C169" s="71" t="s">
        <v>163</v>
      </c>
      <c r="D169" s="71" t="s">
        <v>38</v>
      </c>
      <c r="E169" s="69">
        <f t="shared" si="10"/>
        <v>64.48</v>
      </c>
      <c r="F169" s="175">
        <f t="shared" si="10"/>
        <v>0</v>
      </c>
      <c r="G169" s="185">
        <f t="shared" si="8"/>
        <v>0</v>
      </c>
      <c r="H169" s="168"/>
    </row>
    <row r="170" spans="1:8" s="64" customFormat="1" ht="25.5">
      <c r="A170" s="77" t="s">
        <v>35</v>
      </c>
      <c r="B170" s="71" t="s">
        <v>145</v>
      </c>
      <c r="C170" s="71" t="s">
        <v>163</v>
      </c>
      <c r="D170" s="71" t="s">
        <v>164</v>
      </c>
      <c r="E170" s="69">
        <v>64.48</v>
      </c>
      <c r="F170" s="175">
        <v>0</v>
      </c>
      <c r="G170" s="185">
        <f t="shared" si="8"/>
        <v>0</v>
      </c>
      <c r="H170" s="168"/>
    </row>
    <row r="171" spans="1:8" s="64" customFormat="1" ht="51">
      <c r="A171" s="83" t="s">
        <v>165</v>
      </c>
      <c r="B171" s="71" t="s">
        <v>145</v>
      </c>
      <c r="C171" s="71" t="s">
        <v>166</v>
      </c>
      <c r="D171" s="71"/>
      <c r="E171" s="69">
        <f>E172+E175</f>
        <v>12108.70749</v>
      </c>
      <c r="F171" s="175">
        <f>F172+F175</f>
        <v>7073.34974</v>
      </c>
      <c r="G171" s="185">
        <f t="shared" si="8"/>
        <v>0.5841539855382203</v>
      </c>
      <c r="H171" s="168"/>
    </row>
    <row r="172" spans="1:8" s="64" customFormat="1" ht="25.5">
      <c r="A172" s="28" t="s">
        <v>167</v>
      </c>
      <c r="B172" s="71" t="s">
        <v>145</v>
      </c>
      <c r="C172" s="71" t="s">
        <v>168</v>
      </c>
      <c r="D172" s="71"/>
      <c r="E172" s="69">
        <f>E173</f>
        <v>4500</v>
      </c>
      <c r="F172" s="175">
        <f>F173</f>
        <v>3996.61974</v>
      </c>
      <c r="G172" s="185">
        <f t="shared" si="8"/>
        <v>0.88813772</v>
      </c>
      <c r="H172" s="168"/>
    </row>
    <row r="173" spans="1:8" s="64" customFormat="1" ht="25.5">
      <c r="A173" s="28" t="s">
        <v>33</v>
      </c>
      <c r="B173" s="71" t="s">
        <v>145</v>
      </c>
      <c r="C173" s="71" t="s">
        <v>168</v>
      </c>
      <c r="D173" s="71" t="s">
        <v>34</v>
      </c>
      <c r="E173" s="69">
        <f>E174</f>
        <v>4500</v>
      </c>
      <c r="F173" s="175">
        <f>F174</f>
        <v>3996.61974</v>
      </c>
      <c r="G173" s="185">
        <f t="shared" si="8"/>
        <v>0.88813772</v>
      </c>
      <c r="H173" s="168"/>
    </row>
    <row r="174" spans="1:8" s="64" customFormat="1" ht="25.5">
      <c r="A174" s="28" t="s">
        <v>35</v>
      </c>
      <c r="B174" s="71" t="s">
        <v>145</v>
      </c>
      <c r="C174" s="71" t="s">
        <v>168</v>
      </c>
      <c r="D174" s="71" t="s">
        <v>36</v>
      </c>
      <c r="E174" s="69">
        <v>4500</v>
      </c>
      <c r="F174" s="175">
        <v>3996.61974</v>
      </c>
      <c r="G174" s="185">
        <f t="shared" si="8"/>
        <v>0.88813772</v>
      </c>
      <c r="H174" s="168"/>
    </row>
    <row r="175" spans="1:8" s="64" customFormat="1" ht="12.75">
      <c r="A175" s="28" t="s">
        <v>169</v>
      </c>
      <c r="B175" s="71" t="s">
        <v>145</v>
      </c>
      <c r="C175" s="71" t="s">
        <v>168</v>
      </c>
      <c r="D175" s="71"/>
      <c r="E175" s="69">
        <f>E176</f>
        <v>7608.707490000001</v>
      </c>
      <c r="F175" s="175">
        <f>F176</f>
        <v>3076.73</v>
      </c>
      <c r="G175" s="185">
        <f t="shared" si="8"/>
        <v>0.4043695994416523</v>
      </c>
      <c r="H175" s="168"/>
    </row>
    <row r="176" spans="1:8" s="64" customFormat="1" ht="25.5">
      <c r="A176" s="28" t="s">
        <v>33</v>
      </c>
      <c r="B176" s="71" t="s">
        <v>145</v>
      </c>
      <c r="C176" s="71" t="s">
        <v>168</v>
      </c>
      <c r="D176" s="71" t="s">
        <v>34</v>
      </c>
      <c r="E176" s="69">
        <f>E177</f>
        <v>7608.707490000001</v>
      </c>
      <c r="F176" s="175">
        <f>F177</f>
        <v>3076.73</v>
      </c>
      <c r="G176" s="185">
        <f t="shared" si="8"/>
        <v>0.4043695994416523</v>
      </c>
      <c r="H176" s="168"/>
    </row>
    <row r="177" spans="1:8" s="64" customFormat="1" ht="25.5">
      <c r="A177" s="28" t="s">
        <v>35</v>
      </c>
      <c r="B177" s="71" t="s">
        <v>145</v>
      </c>
      <c r="C177" s="71" t="s">
        <v>168</v>
      </c>
      <c r="D177" s="71" t="s">
        <v>36</v>
      </c>
      <c r="E177" s="69">
        <f>700+2000+42.08385+776.9306+135+3954.69304</f>
        <v>7608.707490000001</v>
      </c>
      <c r="F177" s="175">
        <v>3076.73</v>
      </c>
      <c r="G177" s="185">
        <f t="shared" si="8"/>
        <v>0.4043695994416523</v>
      </c>
      <c r="H177" s="168"/>
    </row>
    <row r="178" spans="1:8" s="64" customFormat="1" ht="38.25">
      <c r="A178" s="85" t="s">
        <v>170</v>
      </c>
      <c r="B178" s="71" t="s">
        <v>145</v>
      </c>
      <c r="C178" s="71" t="s">
        <v>171</v>
      </c>
      <c r="D178" s="71"/>
      <c r="E178" s="69">
        <f>E179</f>
        <v>2550</v>
      </c>
      <c r="F178" s="175">
        <f>F179</f>
        <v>2045.16904</v>
      </c>
      <c r="G178" s="185">
        <f t="shared" si="8"/>
        <v>0.8020270745098039</v>
      </c>
      <c r="H178" s="168"/>
    </row>
    <row r="179" spans="1:8" s="64" customFormat="1" ht="25.5">
      <c r="A179" s="77" t="s">
        <v>33</v>
      </c>
      <c r="B179" s="71" t="s">
        <v>145</v>
      </c>
      <c r="C179" s="71" t="s">
        <v>171</v>
      </c>
      <c r="D179" s="71" t="s">
        <v>34</v>
      </c>
      <c r="E179" s="69">
        <f>E180</f>
        <v>2550</v>
      </c>
      <c r="F179" s="175">
        <f>F180</f>
        <v>2045.16904</v>
      </c>
      <c r="G179" s="185">
        <f t="shared" si="8"/>
        <v>0.8020270745098039</v>
      </c>
      <c r="H179" s="168"/>
    </row>
    <row r="180" spans="1:8" s="64" customFormat="1" ht="25.5">
      <c r="A180" s="28" t="s">
        <v>35</v>
      </c>
      <c r="B180" s="71" t="s">
        <v>145</v>
      </c>
      <c r="C180" s="71" t="s">
        <v>171</v>
      </c>
      <c r="D180" s="71" t="s">
        <v>36</v>
      </c>
      <c r="E180" s="69">
        <f>1800+750</f>
        <v>2550</v>
      </c>
      <c r="F180" s="175">
        <v>2045.16904</v>
      </c>
      <c r="G180" s="185">
        <f t="shared" si="8"/>
        <v>0.8020270745098039</v>
      </c>
      <c r="H180" s="168"/>
    </row>
    <row r="181" spans="1:8" s="64" customFormat="1" ht="38.25">
      <c r="A181" s="28" t="s">
        <v>72</v>
      </c>
      <c r="B181" s="71" t="s">
        <v>145</v>
      </c>
      <c r="C181" s="71" t="s">
        <v>73</v>
      </c>
      <c r="D181" s="71"/>
      <c r="E181" s="69">
        <f aca="true" t="shared" si="11" ref="E181:F183">E182</f>
        <v>130</v>
      </c>
      <c r="F181" s="175">
        <f t="shared" si="11"/>
        <v>21.5</v>
      </c>
      <c r="G181" s="185">
        <f t="shared" si="8"/>
        <v>0.16538461538461538</v>
      </c>
      <c r="H181" s="168"/>
    </row>
    <row r="182" spans="1:8" s="64" customFormat="1" ht="25.5">
      <c r="A182" s="28" t="s">
        <v>172</v>
      </c>
      <c r="B182" s="71" t="s">
        <v>145</v>
      </c>
      <c r="C182" s="71" t="s">
        <v>173</v>
      </c>
      <c r="D182" s="71"/>
      <c r="E182" s="69">
        <f t="shared" si="11"/>
        <v>130</v>
      </c>
      <c r="F182" s="175">
        <f t="shared" si="11"/>
        <v>21.5</v>
      </c>
      <c r="G182" s="185">
        <f t="shared" si="8"/>
        <v>0.16538461538461538</v>
      </c>
      <c r="H182" s="168"/>
    </row>
    <row r="183" spans="1:8" s="64" customFormat="1" ht="25.5">
      <c r="A183" s="77" t="s">
        <v>33</v>
      </c>
      <c r="B183" s="71" t="s">
        <v>145</v>
      </c>
      <c r="C183" s="71" t="s">
        <v>173</v>
      </c>
      <c r="D183" s="71" t="s">
        <v>34</v>
      </c>
      <c r="E183" s="69">
        <f t="shared" si="11"/>
        <v>130</v>
      </c>
      <c r="F183" s="175">
        <f t="shared" si="11"/>
        <v>21.5</v>
      </c>
      <c r="G183" s="185">
        <f t="shared" si="8"/>
        <v>0.16538461538461538</v>
      </c>
      <c r="H183" s="168"/>
    </row>
    <row r="184" spans="1:8" s="64" customFormat="1" ht="25.5">
      <c r="A184" s="77" t="s">
        <v>35</v>
      </c>
      <c r="B184" s="71" t="s">
        <v>145</v>
      </c>
      <c r="C184" s="71" t="s">
        <v>173</v>
      </c>
      <c r="D184" s="71" t="s">
        <v>36</v>
      </c>
      <c r="E184" s="69">
        <f>150-20</f>
        <v>130</v>
      </c>
      <c r="F184" s="175">
        <v>21.5</v>
      </c>
      <c r="G184" s="185">
        <f t="shared" si="8"/>
        <v>0.16538461538461538</v>
      </c>
      <c r="H184" s="168"/>
    </row>
    <row r="185" spans="1:9" s="64" customFormat="1" ht="13.5">
      <c r="A185" s="81" t="s">
        <v>174</v>
      </c>
      <c r="B185" s="61" t="s">
        <v>175</v>
      </c>
      <c r="C185" s="71"/>
      <c r="D185" s="71"/>
      <c r="E185" s="25">
        <f>E186</f>
        <v>48159.4</v>
      </c>
      <c r="F185" s="176">
        <f>F186</f>
        <v>21793.52379</v>
      </c>
      <c r="G185" s="185">
        <f t="shared" si="8"/>
        <v>0.45252897232938943</v>
      </c>
      <c r="H185" s="168"/>
      <c r="I185" s="86"/>
    </row>
    <row r="186" spans="1:8" s="64" customFormat="1" ht="38.25">
      <c r="A186" s="28" t="s">
        <v>176</v>
      </c>
      <c r="B186" s="71" t="s">
        <v>175</v>
      </c>
      <c r="C186" s="68" t="s">
        <v>177</v>
      </c>
      <c r="D186" s="87"/>
      <c r="E186" s="69">
        <f>E187+E189+E192</f>
        <v>48159.4</v>
      </c>
      <c r="F186" s="175">
        <f>F187+F189+F192</f>
        <v>21793.52379</v>
      </c>
      <c r="G186" s="185">
        <f t="shared" si="8"/>
        <v>0.45252897232938943</v>
      </c>
      <c r="H186" s="168"/>
    </row>
    <row r="187" spans="1:8" s="64" customFormat="1" ht="25.5">
      <c r="A187" s="77" t="s">
        <v>33</v>
      </c>
      <c r="B187" s="71" t="s">
        <v>175</v>
      </c>
      <c r="C187" s="68" t="s">
        <v>178</v>
      </c>
      <c r="D187" s="87" t="s">
        <v>34</v>
      </c>
      <c r="E187" s="69">
        <f>E188</f>
        <v>14559.4</v>
      </c>
      <c r="F187" s="175">
        <f>F188</f>
        <v>1693.52379</v>
      </c>
      <c r="G187" s="185">
        <f t="shared" si="8"/>
        <v>0.11631824044946908</v>
      </c>
      <c r="H187" s="168"/>
    </row>
    <row r="188" spans="1:8" s="64" customFormat="1" ht="25.5">
      <c r="A188" s="28" t="s">
        <v>35</v>
      </c>
      <c r="B188" s="71" t="s">
        <v>175</v>
      </c>
      <c r="C188" s="68" t="s">
        <v>178</v>
      </c>
      <c r="D188" s="87" t="s">
        <v>36</v>
      </c>
      <c r="E188" s="69">
        <f>3709.8+6628.2-550+1420.9+1676.2+1000+927.4+496.9-750</f>
        <v>14559.4</v>
      </c>
      <c r="F188" s="175">
        <v>1693.52379</v>
      </c>
      <c r="G188" s="185">
        <f t="shared" si="8"/>
        <v>0.11631824044946908</v>
      </c>
      <c r="H188" s="168"/>
    </row>
    <row r="189" spans="1:8" s="64" customFormat="1" ht="102">
      <c r="A189" s="28" t="s">
        <v>369</v>
      </c>
      <c r="B189" s="71" t="s">
        <v>175</v>
      </c>
      <c r="C189" s="68" t="s">
        <v>370</v>
      </c>
      <c r="D189" s="87"/>
      <c r="E189" s="69">
        <f>E190</f>
        <v>23500</v>
      </c>
      <c r="F189" s="175">
        <f>F190</f>
        <v>10000</v>
      </c>
      <c r="G189" s="185">
        <f t="shared" si="8"/>
        <v>0.425531914893617</v>
      </c>
      <c r="H189" s="168"/>
    </row>
    <row r="190" spans="1:8" s="64" customFormat="1" ht="12.75">
      <c r="A190" s="28" t="s">
        <v>37</v>
      </c>
      <c r="B190" s="71" t="s">
        <v>175</v>
      </c>
      <c r="C190" s="68" t="s">
        <v>370</v>
      </c>
      <c r="D190" s="87" t="s">
        <v>38</v>
      </c>
      <c r="E190" s="69">
        <f>E191</f>
        <v>23500</v>
      </c>
      <c r="F190" s="175">
        <f>F191</f>
        <v>10000</v>
      </c>
      <c r="G190" s="185">
        <f t="shared" si="8"/>
        <v>0.425531914893617</v>
      </c>
      <c r="H190" s="168"/>
    </row>
    <row r="191" spans="1:8" s="64" customFormat="1" ht="51">
      <c r="A191" s="88" t="s">
        <v>0</v>
      </c>
      <c r="B191" s="71" t="s">
        <v>175</v>
      </c>
      <c r="C191" s="68" t="s">
        <v>370</v>
      </c>
      <c r="D191" s="87" t="s">
        <v>1</v>
      </c>
      <c r="E191" s="69">
        <f>10000+13500</f>
        <v>23500</v>
      </c>
      <c r="F191" s="175">
        <v>10000</v>
      </c>
      <c r="G191" s="185">
        <f t="shared" si="8"/>
        <v>0.425531914893617</v>
      </c>
      <c r="H191" s="168"/>
    </row>
    <row r="192" spans="1:8" s="64" customFormat="1" ht="63.75">
      <c r="A192" s="89" t="s">
        <v>374</v>
      </c>
      <c r="B192" s="71" t="s">
        <v>175</v>
      </c>
      <c r="C192" s="68" t="s">
        <v>373</v>
      </c>
      <c r="D192" s="87"/>
      <c r="E192" s="69">
        <f>E193+E196</f>
        <v>10100</v>
      </c>
      <c r="F192" s="175">
        <f>F193+F196</f>
        <v>10100</v>
      </c>
      <c r="G192" s="185">
        <f t="shared" si="8"/>
        <v>1</v>
      </c>
      <c r="H192" s="168"/>
    </row>
    <row r="193" spans="1:8" s="64" customFormat="1" ht="76.5">
      <c r="A193" s="89" t="s">
        <v>375</v>
      </c>
      <c r="B193" s="71" t="s">
        <v>175</v>
      </c>
      <c r="C193" s="68" t="s">
        <v>373</v>
      </c>
      <c r="D193" s="87"/>
      <c r="E193" s="69">
        <f>E194</f>
        <v>6100</v>
      </c>
      <c r="F193" s="175">
        <f>F194</f>
        <v>6100</v>
      </c>
      <c r="G193" s="185">
        <f t="shared" si="8"/>
        <v>1</v>
      </c>
      <c r="H193" s="168"/>
    </row>
    <row r="194" spans="1:8" s="64" customFormat="1" ht="12.75">
      <c r="A194" s="90" t="s">
        <v>37</v>
      </c>
      <c r="B194" s="71" t="s">
        <v>175</v>
      </c>
      <c r="C194" s="68" t="s">
        <v>373</v>
      </c>
      <c r="D194" s="87" t="s">
        <v>38</v>
      </c>
      <c r="E194" s="69">
        <f>E195</f>
        <v>6100</v>
      </c>
      <c r="F194" s="175">
        <f>F195</f>
        <v>6100</v>
      </c>
      <c r="G194" s="185">
        <f t="shared" si="8"/>
        <v>1</v>
      </c>
      <c r="H194" s="168"/>
    </row>
    <row r="195" spans="1:8" s="64" customFormat="1" ht="51">
      <c r="A195" s="90" t="s">
        <v>372</v>
      </c>
      <c r="B195" s="71" t="s">
        <v>175</v>
      </c>
      <c r="C195" s="68" t="s">
        <v>373</v>
      </c>
      <c r="D195" s="87" t="s">
        <v>164</v>
      </c>
      <c r="E195" s="69">
        <v>6100</v>
      </c>
      <c r="F195" s="175">
        <v>6100</v>
      </c>
      <c r="G195" s="185">
        <f t="shared" si="8"/>
        <v>1</v>
      </c>
      <c r="H195" s="168"/>
    </row>
    <row r="196" spans="1:8" s="64" customFormat="1" ht="61.5" customHeight="1">
      <c r="A196" s="89" t="s">
        <v>376</v>
      </c>
      <c r="B196" s="71" t="s">
        <v>175</v>
      </c>
      <c r="C196" s="68" t="s">
        <v>373</v>
      </c>
      <c r="D196" s="87"/>
      <c r="E196" s="69">
        <f>E197</f>
        <v>4000</v>
      </c>
      <c r="F196" s="175">
        <f>F197</f>
        <v>4000</v>
      </c>
      <c r="G196" s="185">
        <f t="shared" si="8"/>
        <v>1</v>
      </c>
      <c r="H196" s="168"/>
    </row>
    <row r="197" spans="1:8" s="64" customFormat="1" ht="12.75">
      <c r="A197" s="90" t="s">
        <v>37</v>
      </c>
      <c r="B197" s="71" t="s">
        <v>175</v>
      </c>
      <c r="C197" s="68" t="s">
        <v>373</v>
      </c>
      <c r="D197" s="87" t="s">
        <v>38</v>
      </c>
      <c r="E197" s="69">
        <f>E198</f>
        <v>4000</v>
      </c>
      <c r="F197" s="175">
        <f>F198</f>
        <v>4000</v>
      </c>
      <c r="G197" s="185">
        <f t="shared" si="8"/>
        <v>1</v>
      </c>
      <c r="H197" s="168"/>
    </row>
    <row r="198" spans="1:8" s="64" customFormat="1" ht="51">
      <c r="A198" s="90" t="s">
        <v>372</v>
      </c>
      <c r="B198" s="71" t="s">
        <v>175</v>
      </c>
      <c r="C198" s="68" t="s">
        <v>373</v>
      </c>
      <c r="D198" s="87" t="s">
        <v>164</v>
      </c>
      <c r="E198" s="69">
        <v>4000</v>
      </c>
      <c r="F198" s="175">
        <v>4000</v>
      </c>
      <c r="G198" s="185">
        <f t="shared" si="8"/>
        <v>1</v>
      </c>
      <c r="H198" s="168"/>
    </row>
    <row r="199" spans="1:8" s="94" customFormat="1" ht="13.5">
      <c r="A199" s="81" t="s">
        <v>179</v>
      </c>
      <c r="B199" s="91" t="s">
        <v>180</v>
      </c>
      <c r="C199" s="92"/>
      <c r="D199" s="62"/>
      <c r="E199" s="93">
        <f>E200</f>
        <v>80556.08165</v>
      </c>
      <c r="F199" s="177">
        <f>F200</f>
        <v>55614.69941</v>
      </c>
      <c r="G199" s="185">
        <f t="shared" si="8"/>
        <v>0.6903848632016972</v>
      </c>
      <c r="H199" s="168"/>
    </row>
    <row r="200" spans="1:8" s="64" customFormat="1" ht="51">
      <c r="A200" s="77" t="s">
        <v>114</v>
      </c>
      <c r="B200" s="71" t="s">
        <v>180</v>
      </c>
      <c r="C200" s="71" t="s">
        <v>115</v>
      </c>
      <c r="D200" s="71"/>
      <c r="E200" s="95">
        <f>E201</f>
        <v>80556.08165</v>
      </c>
      <c r="F200" s="180">
        <f>F201</f>
        <v>55614.69941</v>
      </c>
      <c r="G200" s="185">
        <f t="shared" si="8"/>
        <v>0.6903848632016972</v>
      </c>
      <c r="H200" s="168"/>
    </row>
    <row r="201" spans="1:8" s="64" customFormat="1" ht="12.75">
      <c r="A201" s="77" t="s">
        <v>181</v>
      </c>
      <c r="B201" s="71" t="s">
        <v>180</v>
      </c>
      <c r="C201" s="71" t="s">
        <v>182</v>
      </c>
      <c r="D201" s="71"/>
      <c r="E201" s="95">
        <f>E202+E215+E229+E239</f>
        <v>80556.08165</v>
      </c>
      <c r="F201" s="180">
        <f>F202+F215+F229+F239</f>
        <v>55614.69941</v>
      </c>
      <c r="G201" s="185">
        <f t="shared" si="8"/>
        <v>0.6903848632016972</v>
      </c>
      <c r="H201" s="168"/>
    </row>
    <row r="202" spans="1:8" s="64" customFormat="1" ht="38.25">
      <c r="A202" s="83" t="s">
        <v>183</v>
      </c>
      <c r="B202" s="71" t="s">
        <v>180</v>
      </c>
      <c r="C202" s="71" t="s">
        <v>184</v>
      </c>
      <c r="D202" s="71"/>
      <c r="E202" s="95">
        <f>E203+E206+E209+E212</f>
        <v>29281.811999999998</v>
      </c>
      <c r="F202" s="180">
        <f>F203+F206+F209+F212</f>
        <v>25908.612409999998</v>
      </c>
      <c r="G202" s="185">
        <f t="shared" si="8"/>
        <v>0.8848022250125778</v>
      </c>
      <c r="H202" s="168"/>
    </row>
    <row r="203" spans="1:8" s="64" customFormat="1" ht="12.75">
      <c r="A203" s="77" t="s">
        <v>185</v>
      </c>
      <c r="B203" s="71" t="s">
        <v>180</v>
      </c>
      <c r="C203" s="71" t="s">
        <v>186</v>
      </c>
      <c r="D203" s="71"/>
      <c r="E203" s="95">
        <f>E204</f>
        <v>18462.1</v>
      </c>
      <c r="F203" s="180">
        <f>F204</f>
        <v>15360.35414</v>
      </c>
      <c r="G203" s="185">
        <f t="shared" si="8"/>
        <v>0.8319938761029353</v>
      </c>
      <c r="H203" s="168"/>
    </row>
    <row r="204" spans="1:8" s="64" customFormat="1" ht="25.5">
      <c r="A204" s="77" t="s">
        <v>187</v>
      </c>
      <c r="B204" s="71" t="s">
        <v>180</v>
      </c>
      <c r="C204" s="71" t="s">
        <v>186</v>
      </c>
      <c r="D204" s="71" t="s">
        <v>188</v>
      </c>
      <c r="E204" s="76">
        <f>E205</f>
        <v>18462.1</v>
      </c>
      <c r="F204" s="174">
        <f>F205</f>
        <v>15360.35414</v>
      </c>
      <c r="G204" s="185">
        <f t="shared" si="8"/>
        <v>0.8319938761029353</v>
      </c>
      <c r="H204" s="168"/>
    </row>
    <row r="205" spans="1:8" s="64" customFormat="1" ht="12.75">
      <c r="A205" s="77" t="s">
        <v>189</v>
      </c>
      <c r="B205" s="71" t="s">
        <v>180</v>
      </c>
      <c r="C205" s="71" t="s">
        <v>186</v>
      </c>
      <c r="D205" s="71" t="s">
        <v>190</v>
      </c>
      <c r="E205" s="76">
        <f>14235+458.4+600+1324.4+830+425.1+89.2+500</f>
        <v>18462.1</v>
      </c>
      <c r="F205" s="174">
        <f>15360.35414</f>
        <v>15360.35414</v>
      </c>
      <c r="G205" s="185">
        <f aca="true" t="shared" si="12" ref="G205:G268">F205/E205</f>
        <v>0.8319938761029353</v>
      </c>
      <c r="H205" s="168"/>
    </row>
    <row r="206" spans="1:8" s="64" customFormat="1" ht="12.75">
      <c r="A206" s="77" t="s">
        <v>191</v>
      </c>
      <c r="B206" s="71" t="s">
        <v>180</v>
      </c>
      <c r="C206" s="71" t="s">
        <v>192</v>
      </c>
      <c r="D206" s="71"/>
      <c r="E206" s="95">
        <f>E207</f>
        <v>5658.2</v>
      </c>
      <c r="F206" s="180">
        <f>F207</f>
        <v>5658.2</v>
      </c>
      <c r="G206" s="185">
        <f t="shared" si="12"/>
        <v>1</v>
      </c>
      <c r="H206" s="168"/>
    </row>
    <row r="207" spans="1:8" s="64" customFormat="1" ht="25.5">
      <c r="A207" s="77" t="s">
        <v>187</v>
      </c>
      <c r="B207" s="71" t="s">
        <v>180</v>
      </c>
      <c r="C207" s="71" t="s">
        <v>192</v>
      </c>
      <c r="D207" s="71" t="s">
        <v>188</v>
      </c>
      <c r="E207" s="76">
        <f>E208</f>
        <v>5658.2</v>
      </c>
      <c r="F207" s="174">
        <f>F208</f>
        <v>5658.2</v>
      </c>
      <c r="G207" s="185">
        <f t="shared" si="12"/>
        <v>1</v>
      </c>
      <c r="H207" s="168"/>
    </row>
    <row r="208" spans="1:8" s="64" customFormat="1" ht="12.75">
      <c r="A208" s="77" t="s">
        <v>189</v>
      </c>
      <c r="B208" s="71" t="s">
        <v>180</v>
      </c>
      <c r="C208" s="71" t="s">
        <v>192</v>
      </c>
      <c r="D208" s="71" t="s">
        <v>190</v>
      </c>
      <c r="E208" s="76">
        <f>5423.2+235</f>
        <v>5658.2</v>
      </c>
      <c r="F208" s="174">
        <f>5423.2+235</f>
        <v>5658.2</v>
      </c>
      <c r="G208" s="185">
        <f t="shared" si="12"/>
        <v>1</v>
      </c>
      <c r="H208" s="168"/>
    </row>
    <row r="209" spans="1:8" s="64" customFormat="1" ht="12.75">
      <c r="A209" s="77" t="s">
        <v>193</v>
      </c>
      <c r="B209" s="71" t="s">
        <v>180</v>
      </c>
      <c r="C209" s="71" t="s">
        <v>194</v>
      </c>
      <c r="E209" s="76">
        <f>E210</f>
        <v>5061.512000000001</v>
      </c>
      <c r="F209" s="174">
        <f>F210</f>
        <v>4797.25827</v>
      </c>
      <c r="G209" s="185">
        <f t="shared" si="12"/>
        <v>0.9477915433174908</v>
      </c>
      <c r="H209" s="168"/>
    </row>
    <row r="210" spans="1:8" s="64" customFormat="1" ht="25.5">
      <c r="A210" s="28" t="s">
        <v>33</v>
      </c>
      <c r="B210" s="71" t="s">
        <v>180</v>
      </c>
      <c r="C210" s="71" t="s">
        <v>194</v>
      </c>
      <c r="D210" s="71" t="s">
        <v>34</v>
      </c>
      <c r="E210" s="76">
        <f>E211</f>
        <v>5061.512000000001</v>
      </c>
      <c r="F210" s="174">
        <f>F211</f>
        <v>4797.25827</v>
      </c>
      <c r="G210" s="185">
        <f t="shared" si="12"/>
        <v>0.9477915433174908</v>
      </c>
      <c r="H210" s="168"/>
    </row>
    <row r="211" spans="1:8" s="64" customFormat="1" ht="25.5">
      <c r="A211" s="28" t="s">
        <v>35</v>
      </c>
      <c r="B211" s="71" t="s">
        <v>180</v>
      </c>
      <c r="C211" s="71" t="s">
        <v>194</v>
      </c>
      <c r="D211" s="71" t="s">
        <v>36</v>
      </c>
      <c r="E211" s="76">
        <f>4236.6+409.732+415.18</f>
        <v>5061.512000000001</v>
      </c>
      <c r="F211" s="174">
        <v>4797.25827</v>
      </c>
      <c r="G211" s="185">
        <f t="shared" si="12"/>
        <v>0.9477915433174908</v>
      </c>
      <c r="H211" s="168"/>
    </row>
    <row r="212" spans="1:8" s="64" customFormat="1" ht="25.5">
      <c r="A212" s="77" t="s">
        <v>195</v>
      </c>
      <c r="B212" s="71" t="s">
        <v>180</v>
      </c>
      <c r="C212" s="71" t="s">
        <v>196</v>
      </c>
      <c r="E212" s="76">
        <f>E213</f>
        <v>100</v>
      </c>
      <c r="F212" s="174">
        <f>F213</f>
        <v>92.8</v>
      </c>
      <c r="G212" s="185">
        <f t="shared" si="12"/>
        <v>0.9279999999999999</v>
      </c>
      <c r="H212" s="168"/>
    </row>
    <row r="213" spans="1:8" s="64" customFormat="1" ht="25.5">
      <c r="A213" s="28" t="s">
        <v>33</v>
      </c>
      <c r="B213" s="71" t="s">
        <v>180</v>
      </c>
      <c r="C213" s="71" t="s">
        <v>196</v>
      </c>
      <c r="D213" s="71" t="s">
        <v>34</v>
      </c>
      <c r="E213" s="76">
        <f>E214</f>
        <v>100</v>
      </c>
      <c r="F213" s="174">
        <f>F214</f>
        <v>92.8</v>
      </c>
      <c r="G213" s="185">
        <f t="shared" si="12"/>
        <v>0.9279999999999999</v>
      </c>
      <c r="H213" s="168"/>
    </row>
    <row r="214" spans="1:8" s="64" customFormat="1" ht="25.5">
      <c r="A214" s="28" t="s">
        <v>35</v>
      </c>
      <c r="B214" s="71" t="s">
        <v>180</v>
      </c>
      <c r="C214" s="71" t="s">
        <v>196</v>
      </c>
      <c r="D214" s="71" t="s">
        <v>36</v>
      </c>
      <c r="E214" s="76">
        <v>100</v>
      </c>
      <c r="F214" s="174">
        <v>92.8</v>
      </c>
      <c r="G214" s="185">
        <f t="shared" si="12"/>
        <v>0.9279999999999999</v>
      </c>
      <c r="H214" s="168"/>
    </row>
    <row r="215" spans="1:8" s="64" customFormat="1" ht="12.75">
      <c r="A215" s="83" t="s">
        <v>197</v>
      </c>
      <c r="B215" s="71" t="s">
        <v>180</v>
      </c>
      <c r="C215" s="71" t="s">
        <v>198</v>
      </c>
      <c r="D215" s="71"/>
      <c r="E215" s="76">
        <f>E216+E219+E226+E223</f>
        <v>21184.179650000002</v>
      </c>
      <c r="F215" s="174">
        <f>F216+F219+F226+F223</f>
        <v>19162.7926</v>
      </c>
      <c r="G215" s="185">
        <f t="shared" si="12"/>
        <v>0.9045803480051209</v>
      </c>
      <c r="H215" s="168"/>
    </row>
    <row r="216" spans="1:8" s="64" customFormat="1" ht="12.75">
      <c r="A216" s="77" t="s">
        <v>199</v>
      </c>
      <c r="B216" s="71" t="s">
        <v>180</v>
      </c>
      <c r="C216" s="71" t="s">
        <v>200</v>
      </c>
      <c r="D216" s="71"/>
      <c r="E216" s="76">
        <f>E217</f>
        <v>4332.5</v>
      </c>
      <c r="F216" s="174">
        <f>F217</f>
        <v>4096.40437</v>
      </c>
      <c r="G216" s="185">
        <f t="shared" si="12"/>
        <v>0.9455059134448933</v>
      </c>
      <c r="H216" s="168"/>
    </row>
    <row r="217" spans="1:8" s="64" customFormat="1" ht="25.5">
      <c r="A217" s="28" t="s">
        <v>33</v>
      </c>
      <c r="B217" s="71" t="s">
        <v>180</v>
      </c>
      <c r="C217" s="71" t="s">
        <v>200</v>
      </c>
      <c r="D217" s="71" t="s">
        <v>34</v>
      </c>
      <c r="E217" s="76">
        <f>E218</f>
        <v>4332.5</v>
      </c>
      <c r="F217" s="174">
        <f>F218</f>
        <v>4096.40437</v>
      </c>
      <c r="G217" s="185">
        <f t="shared" si="12"/>
        <v>0.9455059134448933</v>
      </c>
      <c r="H217" s="168"/>
    </row>
    <row r="218" spans="1:8" s="64" customFormat="1" ht="25.5">
      <c r="A218" s="28" t="s">
        <v>35</v>
      </c>
      <c r="B218" s="71" t="s">
        <v>180</v>
      </c>
      <c r="C218" s="71" t="s">
        <v>200</v>
      </c>
      <c r="D218" s="71" t="s">
        <v>36</v>
      </c>
      <c r="E218" s="76">
        <f>4513-180.5</f>
        <v>4332.5</v>
      </c>
      <c r="F218" s="174">
        <v>4096.40437</v>
      </c>
      <c r="G218" s="185">
        <f t="shared" si="12"/>
        <v>0.9455059134448933</v>
      </c>
      <c r="H218" s="168"/>
    </row>
    <row r="219" spans="1:8" s="64" customFormat="1" ht="30" customHeight="1">
      <c r="A219" s="28" t="s">
        <v>201</v>
      </c>
      <c r="B219" s="71" t="s">
        <v>180</v>
      </c>
      <c r="C219" s="71" t="s">
        <v>202</v>
      </c>
      <c r="D219" s="71"/>
      <c r="E219" s="76">
        <f>E220</f>
        <v>6221.2</v>
      </c>
      <c r="F219" s="174">
        <f>F220</f>
        <v>5253.76</v>
      </c>
      <c r="G219" s="185">
        <f t="shared" si="12"/>
        <v>0.8444930238539189</v>
      </c>
      <c r="H219" s="168"/>
    </row>
    <row r="220" spans="1:8" s="64" customFormat="1" ht="25.5">
      <c r="A220" s="28" t="s">
        <v>33</v>
      </c>
      <c r="B220" s="71" t="s">
        <v>180</v>
      </c>
      <c r="C220" s="71" t="s">
        <v>202</v>
      </c>
      <c r="D220" s="71" t="s">
        <v>34</v>
      </c>
      <c r="E220" s="76">
        <f>E221</f>
        <v>6221.2</v>
      </c>
      <c r="F220" s="174">
        <f>F221</f>
        <v>5253.76</v>
      </c>
      <c r="G220" s="185">
        <f t="shared" si="12"/>
        <v>0.8444930238539189</v>
      </c>
      <c r="H220" s="168"/>
    </row>
    <row r="221" spans="1:8" s="64" customFormat="1" ht="25.5">
      <c r="A221" s="28" t="s">
        <v>35</v>
      </c>
      <c r="B221" s="71" t="s">
        <v>180</v>
      </c>
      <c r="C221" s="71" t="s">
        <v>202</v>
      </c>
      <c r="D221" s="71" t="s">
        <v>36</v>
      </c>
      <c r="E221" s="76">
        <f>4000+2196.2+25</f>
        <v>6221.2</v>
      </c>
      <c r="F221" s="174">
        <v>5253.76</v>
      </c>
      <c r="G221" s="185">
        <f t="shared" si="12"/>
        <v>0.8444930238539189</v>
      </c>
      <c r="H221" s="168"/>
    </row>
    <row r="222" spans="1:8" s="64" customFormat="1" ht="25.5">
      <c r="A222" s="77" t="s">
        <v>122</v>
      </c>
      <c r="B222" s="71" t="s">
        <v>180</v>
      </c>
      <c r="C222" s="71" t="s">
        <v>203</v>
      </c>
      <c r="D222" s="71"/>
      <c r="E222" s="76">
        <f aca="true" t="shared" si="13" ref="E222:F224">E223</f>
        <v>7847.120000000001</v>
      </c>
      <c r="F222" s="174">
        <f t="shared" si="13"/>
        <v>7847.0993</v>
      </c>
      <c r="G222" s="185">
        <f t="shared" si="12"/>
        <v>0.9999973620895308</v>
      </c>
      <c r="H222" s="168"/>
    </row>
    <row r="223" spans="1:8" s="64" customFormat="1" ht="48" customHeight="1">
      <c r="A223" s="40" t="s">
        <v>204</v>
      </c>
      <c r="B223" s="71" t="s">
        <v>180</v>
      </c>
      <c r="C223" s="71" t="s">
        <v>205</v>
      </c>
      <c r="D223" s="71"/>
      <c r="E223" s="76">
        <f t="shared" si="13"/>
        <v>7847.120000000001</v>
      </c>
      <c r="F223" s="174">
        <f t="shared" si="13"/>
        <v>7847.0993</v>
      </c>
      <c r="G223" s="185">
        <f t="shared" si="12"/>
        <v>0.9999973620895308</v>
      </c>
      <c r="H223" s="168"/>
    </row>
    <row r="224" spans="1:8" s="64" customFormat="1" ht="25.5">
      <c r="A224" s="28" t="s">
        <v>33</v>
      </c>
      <c r="B224" s="71" t="s">
        <v>180</v>
      </c>
      <c r="C224" s="71" t="s">
        <v>205</v>
      </c>
      <c r="D224" s="71" t="s">
        <v>34</v>
      </c>
      <c r="E224" s="76">
        <f t="shared" si="13"/>
        <v>7847.120000000001</v>
      </c>
      <c r="F224" s="174">
        <f t="shared" si="13"/>
        <v>7847.0993</v>
      </c>
      <c r="G224" s="185">
        <f t="shared" si="12"/>
        <v>0.9999973620895308</v>
      </c>
      <c r="H224" s="168"/>
    </row>
    <row r="225" spans="1:8" s="64" customFormat="1" ht="25.5">
      <c r="A225" s="28" t="s">
        <v>35</v>
      </c>
      <c r="B225" s="71" t="s">
        <v>180</v>
      </c>
      <c r="C225" s="71" t="s">
        <v>205</v>
      </c>
      <c r="D225" s="71" t="s">
        <v>36</v>
      </c>
      <c r="E225" s="76">
        <f>6513.83+1420.19-71.36-15.54</f>
        <v>7847.120000000001</v>
      </c>
      <c r="F225" s="174">
        <v>7847.0993</v>
      </c>
      <c r="G225" s="185">
        <f t="shared" si="12"/>
        <v>0.9999973620895308</v>
      </c>
      <c r="H225" s="168"/>
    </row>
    <row r="226" spans="1:8" s="64" customFormat="1" ht="25.5">
      <c r="A226" s="77" t="s">
        <v>206</v>
      </c>
      <c r="B226" s="71" t="s">
        <v>180</v>
      </c>
      <c r="C226" s="71" t="s">
        <v>207</v>
      </c>
      <c r="D226" s="71"/>
      <c r="E226" s="76">
        <f>E227</f>
        <v>2783.3596500000003</v>
      </c>
      <c r="F226" s="174">
        <f>F227</f>
        <v>1965.52893</v>
      </c>
      <c r="G226" s="185">
        <f t="shared" si="12"/>
        <v>0.7061713817687915</v>
      </c>
      <c r="H226" s="168"/>
    </row>
    <row r="227" spans="1:8" s="64" customFormat="1" ht="25.5">
      <c r="A227" s="28" t="s">
        <v>33</v>
      </c>
      <c r="B227" s="71" t="s">
        <v>180</v>
      </c>
      <c r="C227" s="71" t="s">
        <v>207</v>
      </c>
      <c r="D227" s="71" t="s">
        <v>34</v>
      </c>
      <c r="E227" s="76">
        <f>E228</f>
        <v>2783.3596500000003</v>
      </c>
      <c r="F227" s="174">
        <f>F228</f>
        <v>1965.52893</v>
      </c>
      <c r="G227" s="185">
        <f t="shared" si="12"/>
        <v>0.7061713817687915</v>
      </c>
      <c r="H227" s="168"/>
    </row>
    <row r="228" spans="1:8" s="64" customFormat="1" ht="25.5">
      <c r="A228" s="28" t="s">
        <v>35</v>
      </c>
      <c r="B228" s="71" t="s">
        <v>180</v>
      </c>
      <c r="C228" s="71" t="s">
        <v>207</v>
      </c>
      <c r="D228" s="71" t="s">
        <v>36</v>
      </c>
      <c r="E228" s="76">
        <f>1300-517.6+110.2+1039.2+450.13025-70.4+442.5294-15.7+45</f>
        <v>2783.3596500000003</v>
      </c>
      <c r="F228" s="174">
        <v>1965.52893</v>
      </c>
      <c r="G228" s="185">
        <f t="shared" si="12"/>
        <v>0.7061713817687915</v>
      </c>
      <c r="H228" s="168"/>
    </row>
    <row r="229" spans="1:8" s="64" customFormat="1" ht="25.5">
      <c r="A229" s="83" t="s">
        <v>208</v>
      </c>
      <c r="B229" s="71" t="s">
        <v>180</v>
      </c>
      <c r="C229" s="71" t="s">
        <v>209</v>
      </c>
      <c r="D229" s="71"/>
      <c r="E229" s="76">
        <f aca="true" t="shared" si="14" ref="E229:F231">E230</f>
        <v>8265.2</v>
      </c>
      <c r="F229" s="174">
        <f t="shared" si="14"/>
        <v>6075.91915</v>
      </c>
      <c r="G229" s="185">
        <f t="shared" si="12"/>
        <v>0.7351206443885204</v>
      </c>
      <c r="H229" s="168"/>
    </row>
    <row r="230" spans="1:8" s="64" customFormat="1" ht="12.75">
      <c r="A230" s="28" t="s">
        <v>210</v>
      </c>
      <c r="B230" s="71" t="s">
        <v>180</v>
      </c>
      <c r="C230" s="71" t="s">
        <v>211</v>
      </c>
      <c r="D230" s="71"/>
      <c r="E230" s="76">
        <f t="shared" si="14"/>
        <v>8265.2</v>
      </c>
      <c r="F230" s="174">
        <f t="shared" si="14"/>
        <v>6075.91915</v>
      </c>
      <c r="G230" s="185">
        <f t="shared" si="12"/>
        <v>0.7351206443885204</v>
      </c>
      <c r="H230" s="168"/>
    </row>
    <row r="231" spans="1:8" s="64" customFormat="1" ht="39.75" customHeight="1">
      <c r="A231" s="40" t="s">
        <v>212</v>
      </c>
      <c r="B231" s="71" t="s">
        <v>180</v>
      </c>
      <c r="C231" s="71" t="s">
        <v>211</v>
      </c>
      <c r="D231" s="71"/>
      <c r="E231" s="76">
        <f t="shared" si="14"/>
        <v>8265.2</v>
      </c>
      <c r="F231" s="174">
        <f t="shared" si="14"/>
        <v>6075.91915</v>
      </c>
      <c r="G231" s="185">
        <f t="shared" si="12"/>
        <v>0.7351206443885204</v>
      </c>
      <c r="H231" s="168"/>
    </row>
    <row r="232" spans="1:8" s="64" customFormat="1" ht="63.75">
      <c r="A232" s="67" t="s">
        <v>19</v>
      </c>
      <c r="B232" s="71" t="s">
        <v>180</v>
      </c>
      <c r="C232" s="71" t="s">
        <v>211</v>
      </c>
      <c r="D232" s="71"/>
      <c r="E232" s="76">
        <f>E233+E235+E237</f>
        <v>8265.2</v>
      </c>
      <c r="F232" s="174">
        <f>F233+F235+F237</f>
        <v>6075.91915</v>
      </c>
      <c r="G232" s="185">
        <f t="shared" si="12"/>
        <v>0.7351206443885204</v>
      </c>
      <c r="H232" s="168"/>
    </row>
    <row r="233" spans="1:8" s="64" customFormat="1" ht="12.75">
      <c r="A233" s="67" t="s">
        <v>80</v>
      </c>
      <c r="B233" s="71" t="s">
        <v>180</v>
      </c>
      <c r="C233" s="71" t="s">
        <v>211</v>
      </c>
      <c r="D233" s="71" t="s">
        <v>20</v>
      </c>
      <c r="E233" s="76">
        <f>E234</f>
        <v>6245.4</v>
      </c>
      <c r="F233" s="174">
        <f>F234</f>
        <v>5511.76347</v>
      </c>
      <c r="G233" s="185">
        <f t="shared" si="12"/>
        <v>0.8825316985301181</v>
      </c>
      <c r="H233" s="168"/>
    </row>
    <row r="234" spans="1:8" s="64" customFormat="1" ht="25.5">
      <c r="A234" s="77" t="s">
        <v>33</v>
      </c>
      <c r="B234" s="71" t="s">
        <v>180</v>
      </c>
      <c r="C234" s="71" t="s">
        <v>211</v>
      </c>
      <c r="D234" s="71" t="s">
        <v>81</v>
      </c>
      <c r="E234" s="76">
        <f>5845.4+400</f>
        <v>6245.4</v>
      </c>
      <c r="F234" s="174">
        <v>5511.76347</v>
      </c>
      <c r="G234" s="185">
        <f t="shared" si="12"/>
        <v>0.8825316985301181</v>
      </c>
      <c r="H234" s="168"/>
    </row>
    <row r="235" spans="1:8" s="64" customFormat="1" ht="25.5">
      <c r="A235" s="77" t="s">
        <v>35</v>
      </c>
      <c r="B235" s="71" t="s">
        <v>180</v>
      </c>
      <c r="C235" s="71" t="s">
        <v>211</v>
      </c>
      <c r="D235" s="71" t="s">
        <v>34</v>
      </c>
      <c r="E235" s="76">
        <f>E236</f>
        <v>2009.8000000000002</v>
      </c>
      <c r="F235" s="174">
        <f>F236</f>
        <v>564.08788</v>
      </c>
      <c r="G235" s="185">
        <f t="shared" si="12"/>
        <v>0.2806686635486118</v>
      </c>
      <c r="H235" s="168"/>
    </row>
    <row r="236" spans="1:8" s="64" customFormat="1" ht="12.75">
      <c r="A236" s="67" t="s">
        <v>37</v>
      </c>
      <c r="B236" s="71" t="s">
        <v>180</v>
      </c>
      <c r="C236" s="71" t="s">
        <v>211</v>
      </c>
      <c r="D236" s="71" t="s">
        <v>36</v>
      </c>
      <c r="E236" s="76">
        <f>2590-10+700+1000-1000-400+1836.8-2907+200</f>
        <v>2009.8000000000002</v>
      </c>
      <c r="F236" s="174">
        <v>564.08788</v>
      </c>
      <c r="G236" s="185">
        <f t="shared" si="12"/>
        <v>0.2806686635486118</v>
      </c>
      <c r="H236" s="168"/>
    </row>
    <row r="237" spans="1:8" s="64" customFormat="1" ht="12.75">
      <c r="A237" s="67" t="s">
        <v>39</v>
      </c>
      <c r="B237" s="71" t="s">
        <v>180</v>
      </c>
      <c r="C237" s="71" t="s">
        <v>211</v>
      </c>
      <c r="D237" s="71" t="s">
        <v>38</v>
      </c>
      <c r="E237" s="76">
        <f>E238</f>
        <v>10</v>
      </c>
      <c r="F237" s="174">
        <f>F238</f>
        <v>0.0678</v>
      </c>
      <c r="G237" s="185">
        <f t="shared" si="12"/>
        <v>0.00678</v>
      </c>
      <c r="H237" s="168"/>
    </row>
    <row r="238" spans="1:8" s="64" customFormat="1" ht="12.75">
      <c r="A238" s="67" t="s">
        <v>39</v>
      </c>
      <c r="B238" s="71" t="s">
        <v>180</v>
      </c>
      <c r="C238" s="71" t="s">
        <v>211</v>
      </c>
      <c r="D238" s="71" t="s">
        <v>40</v>
      </c>
      <c r="E238" s="76">
        <v>10</v>
      </c>
      <c r="F238" s="174">
        <v>0.0678</v>
      </c>
      <c r="G238" s="185">
        <f t="shared" si="12"/>
        <v>0.00678</v>
      </c>
      <c r="H238" s="168"/>
    </row>
    <row r="239" spans="1:8" s="64" customFormat="1" ht="12.75">
      <c r="A239" s="83" t="s">
        <v>213</v>
      </c>
      <c r="B239" s="71" t="s">
        <v>180</v>
      </c>
      <c r="C239" s="71" t="s">
        <v>214</v>
      </c>
      <c r="D239" s="71"/>
      <c r="E239" s="76">
        <f>E240+E243</f>
        <v>21824.89</v>
      </c>
      <c r="F239" s="174">
        <f>F240+F243</f>
        <v>4467.37525</v>
      </c>
      <c r="G239" s="185">
        <f t="shared" si="12"/>
        <v>0.20469176476949025</v>
      </c>
      <c r="H239" s="168"/>
    </row>
    <row r="240" spans="1:8" s="64" customFormat="1" ht="12.75">
      <c r="A240" s="77" t="s">
        <v>215</v>
      </c>
      <c r="B240" s="71" t="s">
        <v>180</v>
      </c>
      <c r="C240" s="71" t="s">
        <v>216</v>
      </c>
      <c r="D240" s="71"/>
      <c r="E240" s="76">
        <f>E241</f>
        <v>21747</v>
      </c>
      <c r="F240" s="174">
        <f>F241</f>
        <v>4389.4915</v>
      </c>
      <c r="G240" s="185">
        <f t="shared" si="12"/>
        <v>0.2018435416379271</v>
      </c>
      <c r="H240" s="168"/>
    </row>
    <row r="241" spans="1:8" s="64" customFormat="1" ht="25.5">
      <c r="A241" s="28" t="s">
        <v>33</v>
      </c>
      <c r="B241" s="71" t="s">
        <v>180</v>
      </c>
      <c r="C241" s="71" t="s">
        <v>216</v>
      </c>
      <c r="D241" s="71" t="s">
        <v>34</v>
      </c>
      <c r="E241" s="76">
        <f>E242</f>
        <v>21747</v>
      </c>
      <c r="F241" s="174">
        <f>F242</f>
        <v>4389.4915</v>
      </c>
      <c r="G241" s="185">
        <f t="shared" si="12"/>
        <v>0.2018435416379271</v>
      </c>
      <c r="H241" s="168"/>
    </row>
    <row r="242" spans="1:8" s="64" customFormat="1" ht="25.5">
      <c r="A242" s="28" t="s">
        <v>35</v>
      </c>
      <c r="B242" s="71" t="s">
        <v>180</v>
      </c>
      <c r="C242" s="71" t="s">
        <v>216</v>
      </c>
      <c r="D242" s="71" t="s">
        <v>36</v>
      </c>
      <c r="E242" s="76">
        <f>2400-2000+750+200+90+550+10000+1300+11000-7000-1000+1200-200+2877+80+1000+500</f>
        <v>21747</v>
      </c>
      <c r="F242" s="174">
        <v>4389.4915</v>
      </c>
      <c r="G242" s="185">
        <f t="shared" si="12"/>
        <v>0.2018435416379271</v>
      </c>
      <c r="H242" s="168"/>
    </row>
    <row r="243" spans="1:8" s="64" customFormat="1" ht="25.5">
      <c r="A243" s="77" t="s">
        <v>380</v>
      </c>
      <c r="B243" s="71" t="s">
        <v>180</v>
      </c>
      <c r="C243" s="71" t="s">
        <v>214</v>
      </c>
      <c r="D243" s="71"/>
      <c r="E243" s="76">
        <f>E244+E247</f>
        <v>77.89</v>
      </c>
      <c r="F243" s="174">
        <f>F244+F247</f>
        <v>77.88375</v>
      </c>
      <c r="G243" s="185">
        <f t="shared" si="12"/>
        <v>0.9999197586339711</v>
      </c>
      <c r="H243" s="168"/>
    </row>
    <row r="244" spans="1:8" s="64" customFormat="1" ht="25.5">
      <c r="A244" s="84" t="s">
        <v>217</v>
      </c>
      <c r="B244" s="71" t="s">
        <v>180</v>
      </c>
      <c r="C244" s="71" t="s">
        <v>381</v>
      </c>
      <c r="D244" s="71"/>
      <c r="E244" s="76">
        <f>E245</f>
        <v>77.89</v>
      </c>
      <c r="F244" s="174">
        <f>F245</f>
        <v>77.88375</v>
      </c>
      <c r="G244" s="185">
        <f t="shared" si="12"/>
        <v>0.9999197586339711</v>
      </c>
      <c r="H244" s="168"/>
    </row>
    <row r="245" spans="1:8" s="64" customFormat="1" ht="25.5">
      <c r="A245" s="28" t="s">
        <v>33</v>
      </c>
      <c r="B245" s="71" t="s">
        <v>180</v>
      </c>
      <c r="C245" s="71" t="s">
        <v>381</v>
      </c>
      <c r="D245" s="71" t="s">
        <v>34</v>
      </c>
      <c r="E245" s="76">
        <f>E246</f>
        <v>77.89</v>
      </c>
      <c r="F245" s="174">
        <f>F246</f>
        <v>77.88375</v>
      </c>
      <c r="G245" s="185">
        <f t="shared" si="12"/>
        <v>0.9999197586339711</v>
      </c>
      <c r="H245" s="168"/>
    </row>
    <row r="246" spans="1:8" s="64" customFormat="1" ht="25.5">
      <c r="A246" s="28" t="s">
        <v>35</v>
      </c>
      <c r="B246" s="71" t="s">
        <v>180</v>
      </c>
      <c r="C246" s="71" t="s">
        <v>381</v>
      </c>
      <c r="D246" s="71" t="s">
        <v>36</v>
      </c>
      <c r="E246" s="76">
        <v>77.89</v>
      </c>
      <c r="F246" s="174">
        <v>77.88375</v>
      </c>
      <c r="G246" s="185">
        <f t="shared" si="12"/>
        <v>0.9999197586339711</v>
      </c>
      <c r="H246" s="168"/>
    </row>
    <row r="247" spans="1:8" s="64" customFormat="1" ht="37.5" customHeight="1" hidden="1">
      <c r="A247" s="84" t="s">
        <v>218</v>
      </c>
      <c r="B247" s="71" t="s">
        <v>180</v>
      </c>
      <c r="C247" s="71" t="s">
        <v>219</v>
      </c>
      <c r="D247" s="71"/>
      <c r="E247" s="76">
        <f>E248</f>
        <v>0</v>
      </c>
      <c r="F247" s="174">
        <f>F248</f>
        <v>0</v>
      </c>
      <c r="G247" s="185" t="e">
        <f t="shared" si="12"/>
        <v>#DIV/0!</v>
      </c>
      <c r="H247" s="168"/>
    </row>
    <row r="248" spans="1:8" s="64" customFormat="1" ht="25.5" hidden="1">
      <c r="A248" s="28" t="s">
        <v>33</v>
      </c>
      <c r="B248" s="71" t="s">
        <v>180</v>
      </c>
      <c r="C248" s="71" t="s">
        <v>219</v>
      </c>
      <c r="D248" s="71" t="s">
        <v>34</v>
      </c>
      <c r="E248" s="76">
        <f>E249</f>
        <v>0</v>
      </c>
      <c r="F248" s="174">
        <f>F249</f>
        <v>0</v>
      </c>
      <c r="G248" s="185" t="e">
        <f t="shared" si="12"/>
        <v>#DIV/0!</v>
      </c>
      <c r="H248" s="168"/>
    </row>
    <row r="249" spans="1:8" s="64" customFormat="1" ht="25.5" hidden="1">
      <c r="A249" s="28" t="s">
        <v>35</v>
      </c>
      <c r="B249" s="71" t="s">
        <v>180</v>
      </c>
      <c r="C249" s="71" t="s">
        <v>219</v>
      </c>
      <c r="D249" s="71" t="s">
        <v>36</v>
      </c>
      <c r="E249" s="76">
        <f>5673.79+1237-6910.79</f>
        <v>0</v>
      </c>
      <c r="F249" s="174">
        <f>5673.79+1237-6910.79</f>
        <v>0</v>
      </c>
      <c r="G249" s="185" t="e">
        <f t="shared" si="12"/>
        <v>#DIV/0!</v>
      </c>
      <c r="H249" s="168"/>
    </row>
    <row r="250" spans="1:8" s="64" customFormat="1" ht="13.5">
      <c r="A250" s="72" t="s">
        <v>220</v>
      </c>
      <c r="B250" s="61" t="s">
        <v>221</v>
      </c>
      <c r="C250" s="62"/>
      <c r="D250" s="62"/>
      <c r="E250" s="78">
        <f aca="true" t="shared" si="15" ref="E250:F252">E251</f>
        <v>60</v>
      </c>
      <c r="F250" s="179">
        <f t="shared" si="15"/>
        <v>43.23</v>
      </c>
      <c r="G250" s="185">
        <f t="shared" si="12"/>
        <v>0.7204999999999999</v>
      </c>
      <c r="H250" s="168"/>
    </row>
    <row r="251" spans="1:8" s="64" customFormat="1" ht="38.25">
      <c r="A251" s="28" t="s">
        <v>222</v>
      </c>
      <c r="B251" s="71" t="s">
        <v>223</v>
      </c>
      <c r="C251" s="71" t="s">
        <v>224</v>
      </c>
      <c r="D251" s="71"/>
      <c r="E251" s="96">
        <f t="shared" si="15"/>
        <v>60</v>
      </c>
      <c r="F251" s="198">
        <f t="shared" si="15"/>
        <v>43.23</v>
      </c>
      <c r="G251" s="185">
        <f t="shared" si="12"/>
        <v>0.7204999999999999</v>
      </c>
      <c r="H251" s="168"/>
    </row>
    <row r="252" spans="1:8" s="64" customFormat="1" ht="25.5">
      <c r="A252" s="28" t="s">
        <v>33</v>
      </c>
      <c r="B252" s="71" t="s">
        <v>223</v>
      </c>
      <c r="C252" s="71" t="s">
        <v>225</v>
      </c>
      <c r="D252" s="71" t="s">
        <v>34</v>
      </c>
      <c r="E252" s="69">
        <f t="shared" si="15"/>
        <v>60</v>
      </c>
      <c r="F252" s="175">
        <f t="shared" si="15"/>
        <v>43.23</v>
      </c>
      <c r="G252" s="185">
        <f t="shared" si="12"/>
        <v>0.7204999999999999</v>
      </c>
      <c r="H252" s="168"/>
    </row>
    <row r="253" spans="1:8" s="20" customFormat="1" ht="25.5">
      <c r="A253" s="28" t="s">
        <v>35</v>
      </c>
      <c r="B253" s="71" t="s">
        <v>223</v>
      </c>
      <c r="C253" s="71" t="s">
        <v>225</v>
      </c>
      <c r="D253" s="71" t="s">
        <v>36</v>
      </c>
      <c r="E253" s="69">
        <f>1022-962</f>
        <v>60</v>
      </c>
      <c r="F253" s="175">
        <v>43.23</v>
      </c>
      <c r="G253" s="185">
        <f t="shared" si="12"/>
        <v>0.7204999999999999</v>
      </c>
      <c r="H253" s="168"/>
    </row>
    <row r="254" spans="1:8" s="20" customFormat="1" ht="13.5">
      <c r="A254" s="72" t="s">
        <v>226</v>
      </c>
      <c r="B254" s="61" t="s">
        <v>227</v>
      </c>
      <c r="C254" s="62"/>
      <c r="D254" s="62"/>
      <c r="E254" s="78">
        <f>E255</f>
        <v>40826.1</v>
      </c>
      <c r="F254" s="179">
        <f>F255</f>
        <v>24766.09371</v>
      </c>
      <c r="G254" s="185">
        <f t="shared" si="12"/>
        <v>0.6066240397686774</v>
      </c>
      <c r="H254" s="168"/>
    </row>
    <row r="255" spans="1:8" s="20" customFormat="1" ht="12.75">
      <c r="A255" s="74" t="s">
        <v>228</v>
      </c>
      <c r="B255" s="71" t="s">
        <v>229</v>
      </c>
      <c r="C255" s="71"/>
      <c r="D255" s="71"/>
      <c r="E255" s="69">
        <f>E256</f>
        <v>40826.1</v>
      </c>
      <c r="F255" s="175">
        <f>F256</f>
        <v>24766.09371</v>
      </c>
      <c r="G255" s="185">
        <f t="shared" si="12"/>
        <v>0.6066240397686774</v>
      </c>
      <c r="H255" s="168"/>
    </row>
    <row r="256" spans="1:8" s="20" customFormat="1" ht="38.25">
      <c r="A256" s="28" t="s">
        <v>230</v>
      </c>
      <c r="B256" s="71" t="s">
        <v>229</v>
      </c>
      <c r="C256" s="71" t="s">
        <v>231</v>
      </c>
      <c r="D256" s="68"/>
      <c r="E256" s="69">
        <f>E257+E264+E261</f>
        <v>40826.1</v>
      </c>
      <c r="F256" s="175">
        <f>F257+F264+F261</f>
        <v>24766.09371</v>
      </c>
      <c r="G256" s="185">
        <f t="shared" si="12"/>
        <v>0.6066240397686774</v>
      </c>
      <c r="H256" s="168"/>
    </row>
    <row r="257" spans="1:8" s="20" customFormat="1" ht="25.5">
      <c r="A257" s="77" t="s">
        <v>232</v>
      </c>
      <c r="B257" s="71" t="s">
        <v>229</v>
      </c>
      <c r="C257" s="68" t="s">
        <v>233</v>
      </c>
      <c r="D257" s="68"/>
      <c r="E257" s="69">
        <f aca="true" t="shared" si="16" ref="E257:F259">E258</f>
        <v>33246.1</v>
      </c>
      <c r="F257" s="175">
        <f t="shared" si="16"/>
        <v>24687.79371</v>
      </c>
      <c r="G257" s="185">
        <f t="shared" si="12"/>
        <v>0.7425771356640328</v>
      </c>
      <c r="H257" s="168"/>
    </row>
    <row r="258" spans="1:8" s="20" customFormat="1" ht="12.75">
      <c r="A258" s="77" t="s">
        <v>234</v>
      </c>
      <c r="B258" s="71" t="s">
        <v>229</v>
      </c>
      <c r="C258" s="68" t="s">
        <v>233</v>
      </c>
      <c r="D258" s="68"/>
      <c r="E258" s="69">
        <f t="shared" si="16"/>
        <v>33246.1</v>
      </c>
      <c r="F258" s="175">
        <f t="shared" si="16"/>
        <v>24687.79371</v>
      </c>
      <c r="G258" s="185">
        <f t="shared" si="12"/>
        <v>0.7425771356640328</v>
      </c>
      <c r="H258" s="168"/>
    </row>
    <row r="259" spans="1:8" s="20" customFormat="1" ht="25.5">
      <c r="A259" s="77" t="s">
        <v>187</v>
      </c>
      <c r="B259" s="71" t="s">
        <v>229</v>
      </c>
      <c r="C259" s="68" t="s">
        <v>233</v>
      </c>
      <c r="D259" s="68" t="s">
        <v>188</v>
      </c>
      <c r="E259" s="69">
        <f t="shared" si="16"/>
        <v>33246.1</v>
      </c>
      <c r="F259" s="175">
        <f t="shared" si="16"/>
        <v>24687.79371</v>
      </c>
      <c r="G259" s="185">
        <f t="shared" si="12"/>
        <v>0.7425771356640328</v>
      </c>
      <c r="H259" s="168"/>
    </row>
    <row r="260" spans="1:8" s="20" customFormat="1" ht="12.75">
      <c r="A260" s="77" t="s">
        <v>189</v>
      </c>
      <c r="B260" s="71" t="s">
        <v>229</v>
      </c>
      <c r="C260" s="68" t="s">
        <v>233</v>
      </c>
      <c r="D260" s="68" t="s">
        <v>190</v>
      </c>
      <c r="E260" s="69">
        <f>26729.1+400+50+420+1000+4647</f>
        <v>33246.1</v>
      </c>
      <c r="F260" s="175">
        <v>24687.79371</v>
      </c>
      <c r="G260" s="185">
        <f t="shared" si="12"/>
        <v>0.7425771356640328</v>
      </c>
      <c r="H260" s="168"/>
    </row>
    <row r="261" spans="1:8" s="20" customFormat="1" ht="38.25">
      <c r="A261" s="77" t="s">
        <v>235</v>
      </c>
      <c r="B261" s="71" t="s">
        <v>229</v>
      </c>
      <c r="C261" s="68" t="s">
        <v>236</v>
      </c>
      <c r="D261" s="68"/>
      <c r="E261" s="69">
        <f>E262</f>
        <v>7500</v>
      </c>
      <c r="F261" s="175">
        <f>F262</f>
        <v>0</v>
      </c>
      <c r="G261" s="185">
        <f t="shared" si="12"/>
        <v>0</v>
      </c>
      <c r="H261" s="168"/>
    </row>
    <row r="262" spans="1:8" s="20" customFormat="1" ht="25.5">
      <c r="A262" s="77" t="s">
        <v>33</v>
      </c>
      <c r="B262" s="71" t="s">
        <v>229</v>
      </c>
      <c r="C262" s="68" t="s">
        <v>236</v>
      </c>
      <c r="D262" s="68" t="s">
        <v>34</v>
      </c>
      <c r="E262" s="69">
        <f>E263</f>
        <v>7500</v>
      </c>
      <c r="F262" s="175">
        <f>F263</f>
        <v>0</v>
      </c>
      <c r="G262" s="185">
        <f t="shared" si="12"/>
        <v>0</v>
      </c>
      <c r="H262" s="168"/>
    </row>
    <row r="263" spans="1:8" s="20" customFormat="1" ht="25.5">
      <c r="A263" s="28" t="s">
        <v>35</v>
      </c>
      <c r="B263" s="71" t="s">
        <v>229</v>
      </c>
      <c r="C263" s="68" t="s">
        <v>236</v>
      </c>
      <c r="D263" s="68" t="s">
        <v>36</v>
      </c>
      <c r="E263" s="69">
        <f>15500-8000</f>
        <v>7500</v>
      </c>
      <c r="F263" s="175">
        <v>0</v>
      </c>
      <c r="G263" s="185">
        <f t="shared" si="12"/>
        <v>0</v>
      </c>
      <c r="H263" s="168"/>
    </row>
    <row r="264" spans="1:8" s="20" customFormat="1" ht="25.5">
      <c r="A264" s="77" t="s">
        <v>237</v>
      </c>
      <c r="B264" s="71" t="s">
        <v>229</v>
      </c>
      <c r="C264" s="68" t="s">
        <v>238</v>
      </c>
      <c r="D264" s="71"/>
      <c r="E264" s="69">
        <f aca="true" t="shared" si="17" ref="E264:F266">E265</f>
        <v>80</v>
      </c>
      <c r="F264" s="175">
        <f t="shared" si="17"/>
        <v>78.3</v>
      </c>
      <c r="G264" s="185">
        <f t="shared" si="12"/>
        <v>0.97875</v>
      </c>
      <c r="H264" s="168"/>
    </row>
    <row r="265" spans="1:8" s="20" customFormat="1" ht="12.75">
      <c r="A265" s="77" t="s">
        <v>239</v>
      </c>
      <c r="B265" s="71" t="s">
        <v>229</v>
      </c>
      <c r="C265" s="68" t="s">
        <v>238</v>
      </c>
      <c r="D265" s="68"/>
      <c r="E265" s="69">
        <f t="shared" si="17"/>
        <v>80</v>
      </c>
      <c r="F265" s="175">
        <f t="shared" si="17"/>
        <v>78.3</v>
      </c>
      <c r="G265" s="185">
        <f t="shared" si="12"/>
        <v>0.97875</v>
      </c>
      <c r="H265" s="168"/>
    </row>
    <row r="266" spans="1:8" s="20" customFormat="1" ht="25.5">
      <c r="A266" s="77" t="s">
        <v>33</v>
      </c>
      <c r="B266" s="71" t="s">
        <v>229</v>
      </c>
      <c r="C266" s="68" t="s">
        <v>238</v>
      </c>
      <c r="D266" s="68" t="s">
        <v>34</v>
      </c>
      <c r="E266" s="69">
        <f t="shared" si="17"/>
        <v>80</v>
      </c>
      <c r="F266" s="175">
        <f t="shared" si="17"/>
        <v>78.3</v>
      </c>
      <c r="G266" s="185">
        <f t="shared" si="12"/>
        <v>0.97875</v>
      </c>
      <c r="H266" s="168"/>
    </row>
    <row r="267" spans="1:8" s="20" customFormat="1" ht="25.5">
      <c r="A267" s="28" t="s">
        <v>35</v>
      </c>
      <c r="B267" s="71" t="s">
        <v>229</v>
      </c>
      <c r="C267" s="68" t="s">
        <v>238</v>
      </c>
      <c r="D267" s="68" t="s">
        <v>36</v>
      </c>
      <c r="E267" s="69">
        <f>450-420+50</f>
        <v>80</v>
      </c>
      <c r="F267" s="175">
        <v>78.3</v>
      </c>
      <c r="G267" s="185">
        <f t="shared" si="12"/>
        <v>0.97875</v>
      </c>
      <c r="H267" s="168"/>
    </row>
    <row r="268" spans="1:8" s="20" customFormat="1" ht="13.5">
      <c r="A268" s="73" t="s">
        <v>240</v>
      </c>
      <c r="B268" s="61" t="s">
        <v>241</v>
      </c>
      <c r="C268" s="62"/>
      <c r="D268" s="62"/>
      <c r="E268" s="78">
        <f aca="true" t="shared" si="18" ref="E268:F271">E269</f>
        <v>850.01</v>
      </c>
      <c r="F268" s="179">
        <f t="shared" si="18"/>
        <v>835.97126</v>
      </c>
      <c r="G268" s="185">
        <f t="shared" si="12"/>
        <v>0.9834840295996519</v>
      </c>
      <c r="H268" s="168"/>
    </row>
    <row r="269" spans="1:8" s="20" customFormat="1" ht="12.75">
      <c r="A269" s="97" t="s">
        <v>76</v>
      </c>
      <c r="B269" s="98" t="s">
        <v>242</v>
      </c>
      <c r="C269" s="71"/>
      <c r="D269" s="68"/>
      <c r="E269" s="38">
        <f t="shared" si="18"/>
        <v>850.01</v>
      </c>
      <c r="F269" s="178">
        <f t="shared" si="18"/>
        <v>835.97126</v>
      </c>
      <c r="G269" s="185">
        <f aca="true" t="shared" si="19" ref="G269:G302">F269/E269</f>
        <v>0.9834840295996519</v>
      </c>
      <c r="H269" s="168"/>
    </row>
    <row r="270" spans="1:8" s="20" customFormat="1" ht="12.75">
      <c r="A270" s="74" t="s">
        <v>243</v>
      </c>
      <c r="B270" s="98" t="s">
        <v>242</v>
      </c>
      <c r="C270" s="71" t="s">
        <v>244</v>
      </c>
      <c r="D270" s="68"/>
      <c r="E270" s="38">
        <f t="shared" si="18"/>
        <v>850.01</v>
      </c>
      <c r="F270" s="178">
        <f t="shared" si="18"/>
        <v>835.97126</v>
      </c>
      <c r="G270" s="185">
        <f t="shared" si="19"/>
        <v>0.9834840295996519</v>
      </c>
      <c r="H270" s="168"/>
    </row>
    <row r="271" spans="1:8" ht="25.5">
      <c r="A271" s="70" t="s">
        <v>245</v>
      </c>
      <c r="B271" s="98" t="s">
        <v>242</v>
      </c>
      <c r="C271" s="71" t="s">
        <v>244</v>
      </c>
      <c r="D271" s="68"/>
      <c r="E271" s="38">
        <f t="shared" si="18"/>
        <v>850.01</v>
      </c>
      <c r="F271" s="178">
        <f t="shared" si="18"/>
        <v>835.97126</v>
      </c>
      <c r="G271" s="185">
        <f t="shared" si="19"/>
        <v>0.9834840295996519</v>
      </c>
      <c r="H271" s="168"/>
    </row>
    <row r="272" spans="1:8" ht="38.25">
      <c r="A272" s="70" t="s">
        <v>246</v>
      </c>
      <c r="B272" s="98" t="s">
        <v>242</v>
      </c>
      <c r="C272" s="71" t="s">
        <v>247</v>
      </c>
      <c r="D272" s="68"/>
      <c r="E272" s="38">
        <f>E274</f>
        <v>850.01</v>
      </c>
      <c r="F272" s="178">
        <f>F274</f>
        <v>835.97126</v>
      </c>
      <c r="G272" s="185">
        <f t="shared" si="19"/>
        <v>0.9834840295996519</v>
      </c>
      <c r="H272" s="168"/>
    </row>
    <row r="273" spans="1:8" ht="12.75">
      <c r="A273" s="70" t="s">
        <v>248</v>
      </c>
      <c r="B273" s="98" t="s">
        <v>242</v>
      </c>
      <c r="C273" s="71" t="s">
        <v>247</v>
      </c>
      <c r="D273" s="71" t="s">
        <v>249</v>
      </c>
      <c r="E273" s="38">
        <f>E274</f>
        <v>850.01</v>
      </c>
      <c r="F273" s="178">
        <f>F274</f>
        <v>835.97126</v>
      </c>
      <c r="G273" s="185">
        <f t="shared" si="19"/>
        <v>0.9834840295996519</v>
      </c>
      <c r="H273" s="168"/>
    </row>
    <row r="274" spans="1:8" ht="25.5">
      <c r="A274" s="70" t="s">
        <v>250</v>
      </c>
      <c r="B274" s="98" t="s">
        <v>242</v>
      </c>
      <c r="C274" s="71" t="s">
        <v>247</v>
      </c>
      <c r="D274" s="71" t="s">
        <v>251</v>
      </c>
      <c r="E274" s="38">
        <f>710+70+70.01</f>
        <v>850.01</v>
      </c>
      <c r="F274" s="178">
        <v>835.97126</v>
      </c>
      <c r="G274" s="185">
        <f t="shared" si="19"/>
        <v>0.9834840295996519</v>
      </c>
      <c r="H274" s="168"/>
    </row>
    <row r="275" spans="1:8" ht="13.5">
      <c r="A275" s="72" t="s">
        <v>252</v>
      </c>
      <c r="B275" s="61" t="s">
        <v>253</v>
      </c>
      <c r="C275" s="62"/>
      <c r="D275" s="62"/>
      <c r="E275" s="93">
        <f>E276</f>
        <v>99472.53</v>
      </c>
      <c r="F275" s="177">
        <f>F276</f>
        <v>94051.74448000001</v>
      </c>
      <c r="G275" s="185">
        <f t="shared" si="19"/>
        <v>0.9455046984328237</v>
      </c>
      <c r="H275" s="168"/>
    </row>
    <row r="276" spans="1:8" ht="12.75">
      <c r="A276" s="99" t="s">
        <v>254</v>
      </c>
      <c r="B276" s="61" t="s">
        <v>253</v>
      </c>
      <c r="C276" s="61"/>
      <c r="D276" s="65"/>
      <c r="E276" s="100">
        <f>E277</f>
        <v>99472.53</v>
      </c>
      <c r="F276" s="173">
        <f>F277</f>
        <v>94051.74448000001</v>
      </c>
      <c r="G276" s="185">
        <f t="shared" si="19"/>
        <v>0.9455046984328237</v>
      </c>
      <c r="H276" s="168"/>
    </row>
    <row r="277" spans="1:8" ht="38.25">
      <c r="A277" s="28" t="s">
        <v>255</v>
      </c>
      <c r="B277" s="71" t="s">
        <v>253</v>
      </c>
      <c r="C277" s="71" t="s">
        <v>256</v>
      </c>
      <c r="D277" s="71"/>
      <c r="E277" s="95">
        <f>E278+E282</f>
        <v>99472.53</v>
      </c>
      <c r="F277" s="180">
        <f>F278+F282</f>
        <v>94051.74448000001</v>
      </c>
      <c r="G277" s="185">
        <f t="shared" si="19"/>
        <v>0.9455046984328237</v>
      </c>
      <c r="H277" s="168"/>
    </row>
    <row r="278" spans="1:8" s="101" customFormat="1" ht="25.5">
      <c r="A278" s="77" t="s">
        <v>257</v>
      </c>
      <c r="B278" s="71" t="s">
        <v>258</v>
      </c>
      <c r="C278" s="71" t="s">
        <v>259</v>
      </c>
      <c r="D278" s="71"/>
      <c r="E278" s="76">
        <f aca="true" t="shared" si="20" ref="E278:F280">E279</f>
        <v>16845.739999999998</v>
      </c>
      <c r="F278" s="174">
        <f t="shared" si="20"/>
        <v>12231.64474</v>
      </c>
      <c r="G278" s="185">
        <f t="shared" si="19"/>
        <v>0.7260972055843199</v>
      </c>
      <c r="H278" s="168"/>
    </row>
    <row r="279" spans="1:8" ht="25.5">
      <c r="A279" s="77" t="s">
        <v>260</v>
      </c>
      <c r="B279" s="71" t="s">
        <v>258</v>
      </c>
      <c r="C279" s="71" t="s">
        <v>259</v>
      </c>
      <c r="D279" s="71"/>
      <c r="E279" s="76">
        <f t="shared" si="20"/>
        <v>16845.739999999998</v>
      </c>
      <c r="F279" s="174">
        <f t="shared" si="20"/>
        <v>12231.64474</v>
      </c>
      <c r="G279" s="185">
        <f t="shared" si="19"/>
        <v>0.7260972055843199</v>
      </c>
      <c r="H279" s="168"/>
    </row>
    <row r="280" spans="1:8" ht="25.5">
      <c r="A280" s="77" t="s">
        <v>187</v>
      </c>
      <c r="B280" s="71" t="s">
        <v>258</v>
      </c>
      <c r="C280" s="71" t="s">
        <v>259</v>
      </c>
      <c r="D280" s="68" t="s">
        <v>188</v>
      </c>
      <c r="E280" s="76">
        <f t="shared" si="20"/>
        <v>16845.739999999998</v>
      </c>
      <c r="F280" s="174">
        <f t="shared" si="20"/>
        <v>12231.64474</v>
      </c>
      <c r="G280" s="185">
        <f t="shared" si="19"/>
        <v>0.7260972055843199</v>
      </c>
      <c r="H280" s="168"/>
    </row>
    <row r="281" spans="1:8" ht="12.75">
      <c r="A281" s="77" t="s">
        <v>189</v>
      </c>
      <c r="B281" s="71" t="s">
        <v>258</v>
      </c>
      <c r="C281" s="71" t="s">
        <v>259</v>
      </c>
      <c r="D281" s="68" t="s">
        <v>190</v>
      </c>
      <c r="E281" s="76">
        <f>15035.6+1037.3+172.84+300+300</f>
        <v>16845.739999999998</v>
      </c>
      <c r="F281" s="174">
        <v>12231.64474</v>
      </c>
      <c r="G281" s="185">
        <f t="shared" si="19"/>
        <v>0.7260972055843199</v>
      </c>
      <c r="H281" s="168"/>
    </row>
    <row r="282" spans="1:8" ht="12.75">
      <c r="A282" s="77" t="s">
        <v>261</v>
      </c>
      <c r="B282" s="71" t="s">
        <v>262</v>
      </c>
      <c r="C282" s="71"/>
      <c r="D282" s="68"/>
      <c r="E282" s="76">
        <f>E283+E288</f>
        <v>82626.79000000001</v>
      </c>
      <c r="F282" s="174">
        <f>F283+F288</f>
        <v>81820.09974</v>
      </c>
      <c r="G282" s="185">
        <f t="shared" si="19"/>
        <v>0.9902369405854928</v>
      </c>
      <c r="H282" s="168"/>
    </row>
    <row r="283" spans="1:8" ht="12.75">
      <c r="A283" s="77" t="s">
        <v>263</v>
      </c>
      <c r="B283" s="71" t="s">
        <v>262</v>
      </c>
      <c r="C283" s="71" t="s">
        <v>256</v>
      </c>
      <c r="D283" s="68"/>
      <c r="E283" s="76">
        <f>E285</f>
        <v>66330.1</v>
      </c>
      <c r="F283" s="174">
        <f>F285</f>
        <v>65523.5475</v>
      </c>
      <c r="G283" s="185">
        <f t="shared" si="19"/>
        <v>0.9878403243776204</v>
      </c>
      <c r="H283" s="168"/>
    </row>
    <row r="284" spans="1:8" ht="12.75">
      <c r="A284" s="77" t="s">
        <v>264</v>
      </c>
      <c r="B284" s="71" t="s">
        <v>262</v>
      </c>
      <c r="C284" s="71" t="s">
        <v>265</v>
      </c>
      <c r="D284" s="68"/>
      <c r="E284" s="76">
        <f aca="true" t="shared" si="21" ref="E284:F286">E285</f>
        <v>66330.1</v>
      </c>
      <c r="F284" s="174">
        <f t="shared" si="21"/>
        <v>65523.5475</v>
      </c>
      <c r="G284" s="185">
        <f t="shared" si="19"/>
        <v>0.9878403243776204</v>
      </c>
      <c r="H284" s="168"/>
    </row>
    <row r="285" spans="1:8" ht="31.5" customHeight="1">
      <c r="A285" s="77" t="s">
        <v>266</v>
      </c>
      <c r="B285" s="71" t="s">
        <v>262</v>
      </c>
      <c r="C285" s="71" t="s">
        <v>267</v>
      </c>
      <c r="D285" s="68"/>
      <c r="E285" s="76">
        <f t="shared" si="21"/>
        <v>66330.1</v>
      </c>
      <c r="F285" s="174">
        <f t="shared" si="21"/>
        <v>65523.5475</v>
      </c>
      <c r="G285" s="185">
        <f t="shared" si="19"/>
        <v>0.9878403243776204</v>
      </c>
      <c r="H285" s="168"/>
    </row>
    <row r="286" spans="1:8" ht="25.5">
      <c r="A286" s="28" t="s">
        <v>33</v>
      </c>
      <c r="B286" s="71" t="s">
        <v>262</v>
      </c>
      <c r="C286" s="71" t="s">
        <v>267</v>
      </c>
      <c r="D286" s="68" t="s">
        <v>34</v>
      </c>
      <c r="E286" s="76">
        <f t="shared" si="21"/>
        <v>66330.1</v>
      </c>
      <c r="F286" s="174">
        <f t="shared" si="21"/>
        <v>65523.5475</v>
      </c>
      <c r="G286" s="185">
        <f t="shared" si="19"/>
        <v>0.9878403243776204</v>
      </c>
      <c r="H286" s="168"/>
    </row>
    <row r="287" spans="1:8" ht="25.5">
      <c r="A287" s="28" t="s">
        <v>35</v>
      </c>
      <c r="B287" s="71" t="s">
        <v>262</v>
      </c>
      <c r="C287" s="71" t="s">
        <v>267</v>
      </c>
      <c r="D287" s="68" t="s">
        <v>36</v>
      </c>
      <c r="E287" s="76">
        <f>53333.3+0.1+12996.7</f>
        <v>66330.1</v>
      </c>
      <c r="F287" s="174">
        <v>65523.5475</v>
      </c>
      <c r="G287" s="185">
        <f t="shared" si="19"/>
        <v>0.9878403243776204</v>
      </c>
      <c r="H287" s="168"/>
    </row>
    <row r="288" spans="1:8" ht="25.5">
      <c r="A288" s="28" t="s">
        <v>268</v>
      </c>
      <c r="B288" s="71" t="s">
        <v>262</v>
      </c>
      <c r="C288" s="71" t="s">
        <v>269</v>
      </c>
      <c r="D288" s="68"/>
      <c r="E288" s="76">
        <f>E289</f>
        <v>16296.69</v>
      </c>
      <c r="F288" s="174">
        <f>F289</f>
        <v>16296.55224</v>
      </c>
      <c r="G288" s="185">
        <f t="shared" si="19"/>
        <v>0.9999915467496774</v>
      </c>
      <c r="H288" s="168"/>
    </row>
    <row r="289" spans="1:8" ht="25.5">
      <c r="A289" s="28" t="s">
        <v>33</v>
      </c>
      <c r="B289" s="71" t="s">
        <v>262</v>
      </c>
      <c r="C289" s="71" t="s">
        <v>269</v>
      </c>
      <c r="D289" s="68" t="s">
        <v>34</v>
      </c>
      <c r="E289" s="76">
        <f>E290</f>
        <v>16296.69</v>
      </c>
      <c r="F289" s="174">
        <f>F290</f>
        <v>16296.55224</v>
      </c>
      <c r="G289" s="185">
        <f t="shared" si="19"/>
        <v>0.9999915467496774</v>
      </c>
      <c r="H289" s="168"/>
    </row>
    <row r="290" spans="1:8" ht="25.5">
      <c r="A290" s="28" t="s">
        <v>35</v>
      </c>
      <c r="B290" s="71" t="s">
        <v>262</v>
      </c>
      <c r="C290" s="71" t="s">
        <v>269</v>
      </c>
      <c r="D290" s="68" t="s">
        <v>36</v>
      </c>
      <c r="E290" s="76">
        <f>14964.69+1332</f>
        <v>16296.69</v>
      </c>
      <c r="F290" s="174">
        <v>16296.55224</v>
      </c>
      <c r="G290" s="185">
        <f t="shared" si="19"/>
        <v>0.9999915467496774</v>
      </c>
      <c r="H290" s="168"/>
    </row>
    <row r="291" spans="1:8" ht="13.5">
      <c r="A291" s="99" t="s">
        <v>270</v>
      </c>
      <c r="B291" s="61" t="s">
        <v>271</v>
      </c>
      <c r="C291" s="62"/>
      <c r="D291" s="62"/>
      <c r="E291" s="78">
        <f aca="true" t="shared" si="22" ref="E291:F296">E292</f>
        <v>1478</v>
      </c>
      <c r="F291" s="179">
        <f t="shared" si="22"/>
        <v>947.26</v>
      </c>
      <c r="G291" s="185">
        <f t="shared" si="19"/>
        <v>0.6409066305818674</v>
      </c>
      <c r="H291" s="168"/>
    </row>
    <row r="292" spans="1:8" ht="13.5">
      <c r="A292" s="97" t="s">
        <v>76</v>
      </c>
      <c r="B292" s="68" t="s">
        <v>272</v>
      </c>
      <c r="C292" s="71" t="s">
        <v>244</v>
      </c>
      <c r="D292" s="62"/>
      <c r="E292" s="25">
        <f t="shared" si="22"/>
        <v>1478</v>
      </c>
      <c r="F292" s="176">
        <f t="shared" si="22"/>
        <v>947.26</v>
      </c>
      <c r="G292" s="185">
        <f t="shared" si="19"/>
        <v>0.6409066305818674</v>
      </c>
      <c r="H292" s="168"/>
    </row>
    <row r="293" spans="1:8" ht="12.75">
      <c r="A293" s="74" t="s">
        <v>273</v>
      </c>
      <c r="B293" s="68" t="s">
        <v>272</v>
      </c>
      <c r="C293" s="71" t="s">
        <v>244</v>
      </c>
      <c r="D293" s="68"/>
      <c r="E293" s="69">
        <f t="shared" si="22"/>
        <v>1478</v>
      </c>
      <c r="F293" s="175">
        <f t="shared" si="22"/>
        <v>947.26</v>
      </c>
      <c r="G293" s="185">
        <f t="shared" si="19"/>
        <v>0.6409066305818674</v>
      </c>
      <c r="H293" s="168"/>
    </row>
    <row r="294" spans="1:8" ht="25.5">
      <c r="A294" s="40" t="s">
        <v>274</v>
      </c>
      <c r="B294" s="68" t="s">
        <v>272</v>
      </c>
      <c r="C294" s="71" t="s">
        <v>275</v>
      </c>
      <c r="D294" s="68"/>
      <c r="E294" s="69">
        <f t="shared" si="22"/>
        <v>1478</v>
      </c>
      <c r="F294" s="175">
        <f t="shared" si="22"/>
        <v>947.26</v>
      </c>
      <c r="G294" s="185">
        <f t="shared" si="19"/>
        <v>0.6409066305818674</v>
      </c>
      <c r="H294" s="168"/>
    </row>
    <row r="295" spans="1:8" ht="38.25">
      <c r="A295" s="40" t="s">
        <v>276</v>
      </c>
      <c r="B295" s="68" t="s">
        <v>272</v>
      </c>
      <c r="C295" s="71" t="s">
        <v>275</v>
      </c>
      <c r="D295" s="68"/>
      <c r="E295" s="69">
        <f t="shared" si="22"/>
        <v>1478</v>
      </c>
      <c r="F295" s="175">
        <f t="shared" si="22"/>
        <v>947.26</v>
      </c>
      <c r="G295" s="185">
        <f t="shared" si="19"/>
        <v>0.6409066305818674</v>
      </c>
      <c r="H295" s="168"/>
    </row>
    <row r="296" spans="1:8" ht="25.5">
      <c r="A296" s="28" t="s">
        <v>33</v>
      </c>
      <c r="B296" s="68" t="s">
        <v>272</v>
      </c>
      <c r="C296" s="71" t="s">
        <v>275</v>
      </c>
      <c r="D296" s="68" t="s">
        <v>34</v>
      </c>
      <c r="E296" s="69">
        <f t="shared" si="22"/>
        <v>1478</v>
      </c>
      <c r="F296" s="175">
        <f t="shared" si="22"/>
        <v>947.26</v>
      </c>
      <c r="G296" s="185">
        <f t="shared" si="19"/>
        <v>0.6409066305818674</v>
      </c>
      <c r="H296" s="168"/>
    </row>
    <row r="297" spans="1:8" ht="25.5">
      <c r="A297" s="28" t="s">
        <v>35</v>
      </c>
      <c r="B297" s="68" t="s">
        <v>272</v>
      </c>
      <c r="C297" s="71" t="s">
        <v>275</v>
      </c>
      <c r="D297" s="68" t="s">
        <v>36</v>
      </c>
      <c r="E297" s="69">
        <f>1000+380+98</f>
        <v>1478</v>
      </c>
      <c r="F297" s="175">
        <v>947.26</v>
      </c>
      <c r="G297" s="185">
        <f t="shared" si="19"/>
        <v>0.6409066305818674</v>
      </c>
      <c r="H297" s="168"/>
    </row>
    <row r="298" spans="1:8" s="102" customFormat="1" ht="26.25">
      <c r="A298" s="99" t="s">
        <v>277</v>
      </c>
      <c r="B298" s="61" t="s">
        <v>278</v>
      </c>
      <c r="C298" s="65" t="s">
        <v>279</v>
      </c>
      <c r="D298" s="61"/>
      <c r="E298" s="100">
        <f aca="true" t="shared" si="23" ref="E298:F300">E299</f>
        <v>2240</v>
      </c>
      <c r="F298" s="173">
        <f t="shared" si="23"/>
        <v>2173.48551</v>
      </c>
      <c r="G298" s="185">
        <f t="shared" si="19"/>
        <v>0.97030603125</v>
      </c>
      <c r="H298" s="168"/>
    </row>
    <row r="299" spans="1:8" s="103" customFormat="1" ht="25.5">
      <c r="A299" s="70" t="s">
        <v>280</v>
      </c>
      <c r="B299" s="71" t="s">
        <v>278</v>
      </c>
      <c r="C299" s="68" t="s">
        <v>279</v>
      </c>
      <c r="D299" s="71"/>
      <c r="E299" s="76">
        <f t="shared" si="23"/>
        <v>2240</v>
      </c>
      <c r="F299" s="174">
        <f t="shared" si="23"/>
        <v>2173.48551</v>
      </c>
      <c r="G299" s="185">
        <f t="shared" si="19"/>
        <v>0.97030603125</v>
      </c>
      <c r="H299" s="168"/>
    </row>
    <row r="300" spans="1:8" ht="12.75">
      <c r="A300" s="70" t="s">
        <v>281</v>
      </c>
      <c r="B300" s="71" t="s">
        <v>278</v>
      </c>
      <c r="C300" s="68" t="s">
        <v>279</v>
      </c>
      <c r="D300" s="71" t="s">
        <v>282</v>
      </c>
      <c r="E300" s="76">
        <f t="shared" si="23"/>
        <v>2240</v>
      </c>
      <c r="F300" s="174">
        <f t="shared" si="23"/>
        <v>2173.48551</v>
      </c>
      <c r="G300" s="185">
        <f t="shared" si="19"/>
        <v>0.97030603125</v>
      </c>
      <c r="H300" s="168"/>
    </row>
    <row r="301" spans="1:8" ht="12.75">
      <c r="A301" s="104" t="s">
        <v>283</v>
      </c>
      <c r="B301" s="71" t="s">
        <v>278</v>
      </c>
      <c r="C301" s="68" t="s">
        <v>279</v>
      </c>
      <c r="D301" s="71" t="s">
        <v>284</v>
      </c>
      <c r="E301" s="76">
        <f>990+1250</f>
        <v>2240</v>
      </c>
      <c r="F301" s="174">
        <v>2173.48551</v>
      </c>
      <c r="G301" s="185">
        <f t="shared" si="19"/>
        <v>0.97030603125</v>
      </c>
      <c r="H301" s="168"/>
    </row>
    <row r="302" spans="1:8" ht="12.75">
      <c r="A302" s="105" t="s">
        <v>285</v>
      </c>
      <c r="B302" s="98"/>
      <c r="C302" s="98"/>
      <c r="D302" s="98"/>
      <c r="E302" s="100">
        <f>E298+E291+E275+E268+E254+E250+E151+E114+E100+E91+E12</f>
        <v>500593.7909999999</v>
      </c>
      <c r="F302" s="173">
        <f>F298+F291+F275+F268+F254+F250+F151+F114+F100+F91+F12</f>
        <v>334300.5831266</v>
      </c>
      <c r="G302" s="185">
        <f t="shared" si="19"/>
        <v>0.66780808938679</v>
      </c>
      <c r="H302" s="168"/>
    </row>
    <row r="303" spans="3:5" ht="12.75">
      <c r="C303" s="106"/>
      <c r="E303" s="57"/>
    </row>
  </sheetData>
  <sheetProtection selectLockedCells="1" selectUnlockedCells="1"/>
  <mergeCells count="6">
    <mergeCell ref="F10:F11"/>
    <mergeCell ref="A8:E8"/>
    <mergeCell ref="A10:A11"/>
    <mergeCell ref="B10:D10"/>
    <mergeCell ref="E10:E11"/>
    <mergeCell ref="G10:G11"/>
  </mergeCells>
  <printOptions horizontalCentered="1"/>
  <pageMargins left="1.3779527559055118" right="0.3937007874015748" top="0.7874015748031497" bottom="0.7874015748031497" header="0.5118110236220472" footer="0.5118110236220472"/>
  <pageSetup fitToHeight="8" fitToWidth="1" horizontalDpi="300" verticalDpi="300" orientation="portrait" paperSize="9" scale="75" r:id="rId1"/>
  <rowBreaks count="6" manualBreakCount="6">
    <brk id="36" max="6" man="1"/>
    <brk id="79" max="6" man="1"/>
    <brk id="116" max="6" man="1"/>
    <brk id="171" max="6" man="1"/>
    <brk id="217" max="255" man="1"/>
    <brk id="2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18"/>
  <sheetViews>
    <sheetView view="pageBreakPreview" zoomScaleSheetLayoutView="100" zoomScalePageLayoutView="0" workbookViewId="0" topLeftCell="A1">
      <selection activeCell="G305" sqref="G305"/>
    </sheetView>
  </sheetViews>
  <sheetFormatPr defaultColWidth="9.00390625" defaultRowHeight="12.75"/>
  <cols>
    <col min="1" max="1" width="41.625" style="19" customWidth="1"/>
    <col min="2" max="2" width="4.625" style="19" customWidth="1"/>
    <col min="3" max="3" width="4.125" style="19" customWidth="1"/>
    <col min="4" max="4" width="3.625" style="19" customWidth="1"/>
    <col min="5" max="5" width="12.125" style="19" customWidth="1"/>
    <col min="6" max="6" width="4.875" style="19" customWidth="1"/>
    <col min="7" max="7" width="9.125" style="18" customWidth="1"/>
    <col min="8" max="8" width="9.375" style="19" customWidth="1"/>
    <col min="9" max="9" width="7.625" style="19" customWidth="1"/>
    <col min="10" max="16" width="9.625" style="19" customWidth="1"/>
    <col min="17" max="17" width="10.375" style="19" customWidth="1"/>
    <col min="18" max="16384" width="9.125" style="19" customWidth="1"/>
  </cols>
  <sheetData>
    <row r="1" spans="3:6" ht="12.75">
      <c r="C1" s="54" t="s">
        <v>371</v>
      </c>
      <c r="D1" s="55"/>
      <c r="E1" s="56"/>
      <c r="F1" s="57"/>
    </row>
    <row r="2" spans="3:6" ht="12.75">
      <c r="C2" s="54" t="s">
        <v>377</v>
      </c>
      <c r="D2" s="55"/>
      <c r="E2" s="56"/>
      <c r="F2" s="57"/>
    </row>
    <row r="3" spans="3:6" ht="12.75">
      <c r="C3" s="54" t="s">
        <v>378</v>
      </c>
      <c r="D3" s="55"/>
      <c r="E3" s="56"/>
      <c r="F3" s="57"/>
    </row>
    <row r="4" spans="3:6" ht="12.75">
      <c r="C4" s="54" t="s">
        <v>379</v>
      </c>
      <c r="D4" s="55"/>
      <c r="E4" s="55"/>
      <c r="F4" s="57"/>
    </row>
    <row r="5" spans="3:6" ht="12.75">
      <c r="C5" s="54" t="s">
        <v>555</v>
      </c>
      <c r="D5" s="55"/>
      <c r="E5" s="56"/>
      <c r="F5" s="57"/>
    </row>
    <row r="6" spans="3:6" ht="12.75">
      <c r="C6" s="54"/>
      <c r="D6" s="55"/>
      <c r="E6" s="56"/>
      <c r="F6" s="57"/>
    </row>
    <row r="7" spans="1:7" ht="34.5" customHeight="1">
      <c r="A7" s="210" t="s">
        <v>286</v>
      </c>
      <c r="B7" s="210"/>
      <c r="C7" s="210"/>
      <c r="D7" s="210"/>
      <c r="E7" s="210"/>
      <c r="F7" s="210"/>
      <c r="G7" s="210"/>
    </row>
    <row r="8" ht="30.75" customHeight="1">
      <c r="G8" s="18" t="s">
        <v>5</v>
      </c>
    </row>
    <row r="9" spans="1:9" s="20" customFormat="1" ht="38.25">
      <c r="A9" s="47" t="s">
        <v>6</v>
      </c>
      <c r="B9" s="47" t="s">
        <v>7</v>
      </c>
      <c r="C9" s="47" t="s">
        <v>287</v>
      </c>
      <c r="D9" s="47" t="s">
        <v>288</v>
      </c>
      <c r="E9" s="47" t="s">
        <v>9</v>
      </c>
      <c r="F9" s="47" t="s">
        <v>10</v>
      </c>
      <c r="G9" s="22" t="s">
        <v>559</v>
      </c>
      <c r="H9" s="170" t="s">
        <v>560</v>
      </c>
      <c r="I9" s="184" t="s">
        <v>561</v>
      </c>
    </row>
    <row r="10" spans="1:9" s="20" customFormat="1" ht="40.5">
      <c r="A10" s="60" t="s">
        <v>289</v>
      </c>
      <c r="B10" s="111" t="s">
        <v>290</v>
      </c>
      <c r="C10" s="111"/>
      <c r="D10" s="111"/>
      <c r="E10" s="111"/>
      <c r="F10" s="111"/>
      <c r="G10" s="112">
        <f>G11+G58+G68+G82+G119+G206+G210+G224+G230+G245+G252</f>
        <v>473005.553</v>
      </c>
      <c r="H10" s="171">
        <f>H11+H58+H68+H82+H119+H206+H210+H224+H230+H245+H252</f>
        <v>313519.65990246006</v>
      </c>
      <c r="I10" s="185">
        <f>H10/G10</f>
        <v>0.662824480418859</v>
      </c>
    </row>
    <row r="11" spans="1:9" s="94" customFormat="1" ht="13.5">
      <c r="A11" s="60" t="s">
        <v>11</v>
      </c>
      <c r="B11" s="27" t="s">
        <v>290</v>
      </c>
      <c r="C11" s="27" t="s">
        <v>291</v>
      </c>
      <c r="D11" s="111"/>
      <c r="E11" s="111"/>
      <c r="F11" s="111"/>
      <c r="G11" s="113">
        <f>G12+G17+G37+G47+G33</f>
        <v>42846.96226</v>
      </c>
      <c r="H11" s="172">
        <f>H12+H17+H37+H47+H33</f>
        <v>26585.521424659997</v>
      </c>
      <c r="I11" s="185">
        <f aca="true" t="shared" si="0" ref="I11:I74">H11/G11</f>
        <v>0.620476225673507</v>
      </c>
    </row>
    <row r="12" spans="1:9" s="20" customFormat="1" ht="40.5">
      <c r="A12" s="60" t="s">
        <v>13</v>
      </c>
      <c r="B12" s="27" t="s">
        <v>290</v>
      </c>
      <c r="C12" s="27" t="s">
        <v>291</v>
      </c>
      <c r="D12" s="114" t="s">
        <v>292</v>
      </c>
      <c r="E12" s="29"/>
      <c r="F12" s="29"/>
      <c r="G12" s="100">
        <f>G13</f>
        <v>1801</v>
      </c>
      <c r="H12" s="173">
        <f>H13</f>
        <v>1388.783</v>
      </c>
      <c r="I12" s="185">
        <f t="shared" si="0"/>
        <v>0.77111771238201</v>
      </c>
    </row>
    <row r="13" spans="1:9" s="20" customFormat="1" ht="51">
      <c r="A13" s="67" t="s">
        <v>15</v>
      </c>
      <c r="B13" s="27" t="s">
        <v>290</v>
      </c>
      <c r="C13" s="27" t="s">
        <v>291</v>
      </c>
      <c r="D13" s="114" t="s">
        <v>292</v>
      </c>
      <c r="E13" s="68" t="s">
        <v>16</v>
      </c>
      <c r="F13" s="27"/>
      <c r="G13" s="76">
        <f>G14</f>
        <v>1801</v>
      </c>
      <c r="H13" s="174">
        <f>H14</f>
        <v>1388.783</v>
      </c>
      <c r="I13" s="185">
        <f t="shared" si="0"/>
        <v>0.77111771238201</v>
      </c>
    </row>
    <row r="14" spans="1:9" s="20" customFormat="1" ht="12.75">
      <c r="A14" s="67" t="s">
        <v>17</v>
      </c>
      <c r="B14" s="27" t="s">
        <v>290</v>
      </c>
      <c r="C14" s="27" t="s">
        <v>291</v>
      </c>
      <c r="D14" s="114" t="s">
        <v>292</v>
      </c>
      <c r="E14" s="68" t="s">
        <v>18</v>
      </c>
      <c r="F14" s="27"/>
      <c r="G14" s="76">
        <f>G16</f>
        <v>1801</v>
      </c>
      <c r="H14" s="174">
        <f>H16</f>
        <v>1388.783</v>
      </c>
      <c r="I14" s="185">
        <f t="shared" si="0"/>
        <v>0.77111771238201</v>
      </c>
    </row>
    <row r="15" spans="1:9" s="20" customFormat="1" ht="60.75" customHeight="1">
      <c r="A15" s="67" t="s">
        <v>19</v>
      </c>
      <c r="B15" s="27" t="s">
        <v>290</v>
      </c>
      <c r="C15" s="27" t="s">
        <v>291</v>
      </c>
      <c r="D15" s="114" t="s">
        <v>292</v>
      </c>
      <c r="E15" s="68" t="s">
        <v>18</v>
      </c>
      <c r="F15" s="27" t="s">
        <v>20</v>
      </c>
      <c r="G15" s="76">
        <f>G16</f>
        <v>1801</v>
      </c>
      <c r="H15" s="174">
        <f>H16</f>
        <v>1388.783</v>
      </c>
      <c r="I15" s="185">
        <f t="shared" si="0"/>
        <v>0.77111771238201</v>
      </c>
    </row>
    <row r="16" spans="1:9" s="20" customFormat="1" ht="25.5">
      <c r="A16" s="67" t="s">
        <v>21</v>
      </c>
      <c r="B16" s="27" t="s">
        <v>290</v>
      </c>
      <c r="C16" s="27" t="s">
        <v>291</v>
      </c>
      <c r="D16" s="27" t="s">
        <v>292</v>
      </c>
      <c r="E16" s="68" t="s">
        <v>18</v>
      </c>
      <c r="F16" s="27" t="s">
        <v>22</v>
      </c>
      <c r="G16" s="76">
        <f>1364+437</f>
        <v>1801</v>
      </c>
      <c r="H16" s="174">
        <v>1388.783</v>
      </c>
      <c r="I16" s="185">
        <f t="shared" si="0"/>
        <v>0.77111771238201</v>
      </c>
    </row>
    <row r="17" spans="1:9" s="20" customFormat="1" ht="67.5">
      <c r="A17" s="72" t="s">
        <v>41</v>
      </c>
      <c r="B17" s="27" t="s">
        <v>290</v>
      </c>
      <c r="C17" s="27" t="s">
        <v>291</v>
      </c>
      <c r="D17" s="27" t="s">
        <v>293</v>
      </c>
      <c r="E17" s="61"/>
      <c r="F17" s="29"/>
      <c r="G17" s="100">
        <f>G18</f>
        <v>25044</v>
      </c>
      <c r="H17" s="173">
        <f>H18</f>
        <v>21156.436854659998</v>
      </c>
      <c r="I17" s="185">
        <f t="shared" si="0"/>
        <v>0.8447706777934834</v>
      </c>
    </row>
    <row r="18" spans="1:9" s="66" customFormat="1" ht="51">
      <c r="A18" s="67" t="s">
        <v>15</v>
      </c>
      <c r="B18" s="27" t="s">
        <v>290</v>
      </c>
      <c r="C18" s="27" t="s">
        <v>291</v>
      </c>
      <c r="D18" s="27" t="s">
        <v>293</v>
      </c>
      <c r="E18" s="68" t="s">
        <v>28</v>
      </c>
      <c r="F18" s="27"/>
      <c r="G18" s="76">
        <f>G19</f>
        <v>25044</v>
      </c>
      <c r="H18" s="174">
        <f>H19</f>
        <v>21156.436854659998</v>
      </c>
      <c r="I18" s="185">
        <f t="shared" si="0"/>
        <v>0.8447706777934834</v>
      </c>
    </row>
    <row r="19" spans="1:9" s="66" customFormat="1" ht="12.75">
      <c r="A19" s="70" t="s">
        <v>27</v>
      </c>
      <c r="B19" s="27" t="s">
        <v>290</v>
      </c>
      <c r="C19" s="27" t="s">
        <v>291</v>
      </c>
      <c r="D19" s="27" t="s">
        <v>293</v>
      </c>
      <c r="E19" s="68" t="s">
        <v>28</v>
      </c>
      <c r="F19" s="27"/>
      <c r="G19" s="76">
        <f>G20+G23+G26</f>
        <v>25044</v>
      </c>
      <c r="H19" s="174">
        <f>H20+H23+H26</f>
        <v>21156.436854659998</v>
      </c>
      <c r="I19" s="185">
        <f t="shared" si="0"/>
        <v>0.8447706777934834</v>
      </c>
    </row>
    <row r="20" spans="1:9" s="66" customFormat="1" ht="12.75">
      <c r="A20" s="67" t="s">
        <v>43</v>
      </c>
      <c r="B20" s="27" t="s">
        <v>290</v>
      </c>
      <c r="C20" s="27" t="s">
        <v>291</v>
      </c>
      <c r="D20" s="27" t="s">
        <v>293</v>
      </c>
      <c r="E20" s="71" t="s">
        <v>44</v>
      </c>
      <c r="F20" s="27"/>
      <c r="G20" s="76">
        <f>G22</f>
        <v>8178.2</v>
      </c>
      <c r="H20" s="174">
        <f>H22</f>
        <v>6965.94666466</v>
      </c>
      <c r="I20" s="185">
        <f t="shared" si="0"/>
        <v>0.8517701529260718</v>
      </c>
    </row>
    <row r="21" spans="1:9" s="66" customFormat="1" ht="45.75" customHeight="1">
      <c r="A21" s="67" t="s">
        <v>19</v>
      </c>
      <c r="B21" s="27" t="s">
        <v>290</v>
      </c>
      <c r="C21" s="27" t="s">
        <v>291</v>
      </c>
      <c r="D21" s="27" t="s">
        <v>293</v>
      </c>
      <c r="E21" s="71" t="s">
        <v>44</v>
      </c>
      <c r="F21" s="27" t="s">
        <v>20</v>
      </c>
      <c r="G21" s="76">
        <f>G22</f>
        <v>8178.2</v>
      </c>
      <c r="H21" s="174">
        <f>H22</f>
        <v>6965.94666466</v>
      </c>
      <c r="I21" s="185">
        <f t="shared" si="0"/>
        <v>0.8517701529260718</v>
      </c>
    </row>
    <row r="22" spans="1:9" s="66" customFormat="1" ht="25.5">
      <c r="A22" s="67" t="s">
        <v>21</v>
      </c>
      <c r="B22" s="27" t="s">
        <v>290</v>
      </c>
      <c r="C22" s="27" t="s">
        <v>291</v>
      </c>
      <c r="D22" s="27" t="s">
        <v>293</v>
      </c>
      <c r="E22" s="71" t="s">
        <v>44</v>
      </c>
      <c r="F22" s="27" t="s">
        <v>22</v>
      </c>
      <c r="G22" s="76">
        <f>5861+330.2+226+1761</f>
        <v>8178.2</v>
      </c>
      <c r="H22" s="174">
        <v>6965.94666466</v>
      </c>
      <c r="I22" s="185">
        <f t="shared" si="0"/>
        <v>0.8517701529260718</v>
      </c>
    </row>
    <row r="23" spans="1:9" s="66" customFormat="1" ht="25.5">
      <c r="A23" s="67" t="s">
        <v>29</v>
      </c>
      <c r="B23" s="27" t="s">
        <v>290</v>
      </c>
      <c r="C23" s="27" t="s">
        <v>291</v>
      </c>
      <c r="D23" s="27" t="s">
        <v>293</v>
      </c>
      <c r="E23" s="71" t="s">
        <v>30</v>
      </c>
      <c r="F23" s="27"/>
      <c r="G23" s="76">
        <f>G24</f>
        <v>11056.8</v>
      </c>
      <c r="H23" s="174">
        <f>H24</f>
        <v>9572.1274</v>
      </c>
      <c r="I23" s="185">
        <f t="shared" si="0"/>
        <v>0.865723120613559</v>
      </c>
    </row>
    <row r="24" spans="1:9" s="66" customFormat="1" ht="76.5">
      <c r="A24" s="67" t="s">
        <v>19</v>
      </c>
      <c r="B24" s="27" t="s">
        <v>290</v>
      </c>
      <c r="C24" s="27" t="s">
        <v>291</v>
      </c>
      <c r="D24" s="27" t="s">
        <v>293</v>
      </c>
      <c r="E24" s="71" t="s">
        <v>30</v>
      </c>
      <c r="F24" s="27" t="s">
        <v>20</v>
      </c>
      <c r="G24" s="76">
        <f>G25</f>
        <v>11056.8</v>
      </c>
      <c r="H24" s="174">
        <f>H25</f>
        <v>9572.1274</v>
      </c>
      <c r="I24" s="185">
        <f t="shared" si="0"/>
        <v>0.865723120613559</v>
      </c>
    </row>
    <row r="25" spans="1:9" s="66" customFormat="1" ht="25.5">
      <c r="A25" s="67" t="s">
        <v>21</v>
      </c>
      <c r="B25" s="27" t="s">
        <v>290</v>
      </c>
      <c r="C25" s="27" t="s">
        <v>291</v>
      </c>
      <c r="D25" s="27" t="s">
        <v>293</v>
      </c>
      <c r="E25" s="71" t="s">
        <v>30</v>
      </c>
      <c r="F25" s="27" t="s">
        <v>22</v>
      </c>
      <c r="G25" s="76">
        <f>5998-330.2+2000+340+3049</f>
        <v>11056.8</v>
      </c>
      <c r="H25" s="174">
        <v>9572.1274</v>
      </c>
      <c r="I25" s="185">
        <f t="shared" si="0"/>
        <v>0.865723120613559</v>
      </c>
    </row>
    <row r="26" spans="1:9" s="66" customFormat="1" ht="30" customHeight="1">
      <c r="A26" s="67" t="s">
        <v>31</v>
      </c>
      <c r="B26" s="27" t="s">
        <v>290</v>
      </c>
      <c r="C26" s="27" t="s">
        <v>291</v>
      </c>
      <c r="D26" s="27" t="s">
        <v>293</v>
      </c>
      <c r="E26" s="71" t="s">
        <v>32</v>
      </c>
      <c r="F26" s="27"/>
      <c r="G26" s="76">
        <f>G27+G29+G31</f>
        <v>5809</v>
      </c>
      <c r="H26" s="174">
        <f>H27+H29+H31</f>
        <v>4618.36279</v>
      </c>
      <c r="I26" s="185">
        <f t="shared" si="0"/>
        <v>0.7950357703563437</v>
      </c>
    </row>
    <row r="27" spans="1:9" s="66" customFormat="1" ht="72.75" customHeight="1">
      <c r="A27" s="40" t="s">
        <v>19</v>
      </c>
      <c r="B27" s="27" t="s">
        <v>290</v>
      </c>
      <c r="C27" s="27" t="s">
        <v>291</v>
      </c>
      <c r="D27" s="27" t="s">
        <v>293</v>
      </c>
      <c r="E27" s="71" t="s">
        <v>32</v>
      </c>
      <c r="F27" s="27" t="s">
        <v>20</v>
      </c>
      <c r="G27" s="76">
        <f>G28</f>
        <v>22</v>
      </c>
      <c r="H27" s="174">
        <f>H28</f>
        <v>3.09258</v>
      </c>
      <c r="I27" s="185">
        <f t="shared" si="0"/>
        <v>0.1405718181818182</v>
      </c>
    </row>
    <row r="28" spans="1:9" s="66" customFormat="1" ht="25.5">
      <c r="A28" s="67" t="s">
        <v>21</v>
      </c>
      <c r="B28" s="27" t="s">
        <v>290</v>
      </c>
      <c r="C28" s="27" t="s">
        <v>291</v>
      </c>
      <c r="D28" s="27" t="s">
        <v>293</v>
      </c>
      <c r="E28" s="71" t="s">
        <v>32</v>
      </c>
      <c r="F28" s="27" t="s">
        <v>22</v>
      </c>
      <c r="G28" s="76">
        <v>22</v>
      </c>
      <c r="H28" s="174">
        <v>3.09258</v>
      </c>
      <c r="I28" s="185">
        <f t="shared" si="0"/>
        <v>0.1405718181818182</v>
      </c>
    </row>
    <row r="29" spans="1:9" s="66" customFormat="1" ht="25.5">
      <c r="A29" s="67" t="s">
        <v>33</v>
      </c>
      <c r="B29" s="27" t="s">
        <v>290</v>
      </c>
      <c r="C29" s="27" t="s">
        <v>291</v>
      </c>
      <c r="D29" s="27" t="s">
        <v>293</v>
      </c>
      <c r="E29" s="71" t="s">
        <v>32</v>
      </c>
      <c r="F29" s="27" t="s">
        <v>34</v>
      </c>
      <c r="G29" s="76">
        <f>G30</f>
        <v>5632</v>
      </c>
      <c r="H29" s="174">
        <f>H30</f>
        <v>4502.56158</v>
      </c>
      <c r="I29" s="185">
        <f t="shared" si="0"/>
        <v>0.7994605078124999</v>
      </c>
    </row>
    <row r="30" spans="1:9" s="66" customFormat="1" ht="33" customHeight="1">
      <c r="A30" s="67" t="s">
        <v>35</v>
      </c>
      <c r="B30" s="27" t="s">
        <v>290</v>
      </c>
      <c r="C30" s="27" t="s">
        <v>291</v>
      </c>
      <c r="D30" s="27" t="s">
        <v>293</v>
      </c>
      <c r="E30" s="71" t="s">
        <v>32</v>
      </c>
      <c r="F30" s="27" t="s">
        <v>36</v>
      </c>
      <c r="G30" s="76">
        <v>5632</v>
      </c>
      <c r="H30" s="174">
        <v>4502.56158</v>
      </c>
      <c r="I30" s="185">
        <f t="shared" si="0"/>
        <v>0.7994605078124999</v>
      </c>
    </row>
    <row r="31" spans="1:9" s="66" customFormat="1" ht="12.75">
      <c r="A31" s="67" t="s">
        <v>37</v>
      </c>
      <c r="B31" s="27" t="s">
        <v>290</v>
      </c>
      <c r="C31" s="27" t="s">
        <v>291</v>
      </c>
      <c r="D31" s="27" t="s">
        <v>293</v>
      </c>
      <c r="E31" s="71" t="s">
        <v>32</v>
      </c>
      <c r="F31" s="27" t="s">
        <v>38</v>
      </c>
      <c r="G31" s="76">
        <f>G32</f>
        <v>155</v>
      </c>
      <c r="H31" s="174">
        <f>H32</f>
        <v>112.70863</v>
      </c>
      <c r="I31" s="185">
        <f t="shared" si="0"/>
        <v>0.7271524516129032</v>
      </c>
    </row>
    <row r="32" spans="1:9" s="66" customFormat="1" ht="12.75">
      <c r="A32" s="67" t="s">
        <v>39</v>
      </c>
      <c r="B32" s="27" t="s">
        <v>290</v>
      </c>
      <c r="C32" s="27" t="s">
        <v>291</v>
      </c>
      <c r="D32" s="27" t="s">
        <v>293</v>
      </c>
      <c r="E32" s="71" t="s">
        <v>32</v>
      </c>
      <c r="F32" s="27" t="s">
        <v>40</v>
      </c>
      <c r="G32" s="76">
        <v>155</v>
      </c>
      <c r="H32" s="174">
        <v>112.70863</v>
      </c>
      <c r="I32" s="185">
        <f t="shared" si="0"/>
        <v>0.7271524516129032</v>
      </c>
    </row>
    <row r="33" spans="1:9" s="66" customFormat="1" ht="27">
      <c r="A33" s="60" t="s">
        <v>49</v>
      </c>
      <c r="B33" s="27" t="s">
        <v>290</v>
      </c>
      <c r="C33" s="27" t="s">
        <v>291</v>
      </c>
      <c r="D33" s="27" t="s">
        <v>294</v>
      </c>
      <c r="E33" s="68"/>
      <c r="F33" s="71"/>
      <c r="G33" s="69">
        <f aca="true" t="shared" si="1" ref="G33:H35">G34</f>
        <v>712</v>
      </c>
      <c r="H33" s="175">
        <f t="shared" si="1"/>
        <v>0</v>
      </c>
      <c r="I33" s="185">
        <f t="shared" si="0"/>
        <v>0</v>
      </c>
    </row>
    <row r="34" spans="1:9" s="66" customFormat="1" ht="12.75">
      <c r="A34" s="67" t="s">
        <v>52</v>
      </c>
      <c r="B34" s="27" t="s">
        <v>290</v>
      </c>
      <c r="C34" s="27" t="s">
        <v>291</v>
      </c>
      <c r="D34" s="27" t="s">
        <v>294</v>
      </c>
      <c r="E34" s="68" t="s">
        <v>51</v>
      </c>
      <c r="F34" s="71"/>
      <c r="G34" s="69">
        <f t="shared" si="1"/>
        <v>712</v>
      </c>
      <c r="H34" s="175">
        <f t="shared" si="1"/>
        <v>0</v>
      </c>
      <c r="I34" s="185">
        <f t="shared" si="0"/>
        <v>0</v>
      </c>
    </row>
    <row r="35" spans="1:9" s="66" customFormat="1" ht="12.75">
      <c r="A35" s="67" t="s">
        <v>37</v>
      </c>
      <c r="B35" s="27" t="s">
        <v>290</v>
      </c>
      <c r="C35" s="27" t="s">
        <v>291</v>
      </c>
      <c r="D35" s="27" t="s">
        <v>294</v>
      </c>
      <c r="E35" s="68" t="s">
        <v>51</v>
      </c>
      <c r="F35" s="71" t="s">
        <v>38</v>
      </c>
      <c r="G35" s="69">
        <f t="shared" si="1"/>
        <v>712</v>
      </c>
      <c r="H35" s="175">
        <f t="shared" si="1"/>
        <v>0</v>
      </c>
      <c r="I35" s="185">
        <f t="shared" si="0"/>
        <v>0</v>
      </c>
    </row>
    <row r="36" spans="1:9" s="66" customFormat="1" ht="12.75">
      <c r="A36" s="67" t="s">
        <v>53</v>
      </c>
      <c r="B36" s="27" t="s">
        <v>290</v>
      </c>
      <c r="C36" s="27" t="s">
        <v>291</v>
      </c>
      <c r="D36" s="27" t="s">
        <v>294</v>
      </c>
      <c r="E36" s="68" t="s">
        <v>51</v>
      </c>
      <c r="F36" s="71" t="s">
        <v>54</v>
      </c>
      <c r="G36" s="69">
        <v>712</v>
      </c>
      <c r="H36" s="175">
        <v>0</v>
      </c>
      <c r="I36" s="185">
        <f t="shared" si="0"/>
        <v>0</v>
      </c>
    </row>
    <row r="37" spans="1:9" s="66" customFormat="1" ht="13.5">
      <c r="A37" s="72" t="s">
        <v>55</v>
      </c>
      <c r="B37" s="27" t="s">
        <v>290</v>
      </c>
      <c r="C37" s="27" t="s">
        <v>291</v>
      </c>
      <c r="D37" s="27" t="s">
        <v>295</v>
      </c>
      <c r="E37" s="61"/>
      <c r="F37" s="29"/>
      <c r="G37" s="25">
        <f>G38+G43</f>
        <v>5276.162259999999</v>
      </c>
      <c r="H37" s="176">
        <f>H38+H43</f>
        <v>0</v>
      </c>
      <c r="I37" s="185">
        <f t="shared" si="0"/>
        <v>0</v>
      </c>
    </row>
    <row r="38" spans="1:9" s="66" customFormat="1" ht="12.75">
      <c r="A38" s="74" t="s">
        <v>55</v>
      </c>
      <c r="B38" s="27" t="s">
        <v>290</v>
      </c>
      <c r="C38" s="27" t="s">
        <v>291</v>
      </c>
      <c r="D38" s="27" t="s">
        <v>295</v>
      </c>
      <c r="E38" s="71" t="s">
        <v>58</v>
      </c>
      <c r="F38" s="27"/>
      <c r="G38" s="69">
        <f aca="true" t="shared" si="2" ref="G38:H41">G39</f>
        <v>4776.162259999999</v>
      </c>
      <c r="H38" s="175">
        <f t="shared" si="2"/>
        <v>0</v>
      </c>
      <c r="I38" s="185">
        <f t="shared" si="0"/>
        <v>0</v>
      </c>
    </row>
    <row r="39" spans="1:9" s="66" customFormat="1" ht="38.25">
      <c r="A39" s="40" t="s">
        <v>57</v>
      </c>
      <c r="B39" s="27" t="s">
        <v>290</v>
      </c>
      <c r="C39" s="27" t="s">
        <v>291</v>
      </c>
      <c r="D39" s="27" t="s">
        <v>295</v>
      </c>
      <c r="E39" s="71" t="s">
        <v>58</v>
      </c>
      <c r="F39" s="27"/>
      <c r="G39" s="69">
        <f t="shared" si="2"/>
        <v>4776.162259999999</v>
      </c>
      <c r="H39" s="175">
        <f t="shared" si="2"/>
        <v>0</v>
      </c>
      <c r="I39" s="185">
        <f t="shared" si="0"/>
        <v>0</v>
      </c>
    </row>
    <row r="40" spans="1:9" s="66" customFormat="1" ht="12.75">
      <c r="A40" s="70" t="s">
        <v>59</v>
      </c>
      <c r="B40" s="27" t="s">
        <v>290</v>
      </c>
      <c r="C40" s="27" t="s">
        <v>291</v>
      </c>
      <c r="D40" s="27" t="s">
        <v>295</v>
      </c>
      <c r="E40" s="71" t="s">
        <v>58</v>
      </c>
      <c r="F40" s="27"/>
      <c r="G40" s="69">
        <f t="shared" si="2"/>
        <v>4776.162259999999</v>
      </c>
      <c r="H40" s="175">
        <f t="shared" si="2"/>
        <v>0</v>
      </c>
      <c r="I40" s="185">
        <f t="shared" si="0"/>
        <v>0</v>
      </c>
    </row>
    <row r="41" spans="1:9" s="66" customFormat="1" ht="12.75">
      <c r="A41" s="67" t="s">
        <v>37</v>
      </c>
      <c r="B41" s="27" t="s">
        <v>290</v>
      </c>
      <c r="C41" s="27" t="s">
        <v>291</v>
      </c>
      <c r="D41" s="27" t="s">
        <v>295</v>
      </c>
      <c r="E41" s="71" t="s">
        <v>58</v>
      </c>
      <c r="F41" s="27" t="s">
        <v>38</v>
      </c>
      <c r="G41" s="69">
        <f t="shared" si="2"/>
        <v>4776.162259999999</v>
      </c>
      <c r="H41" s="175">
        <f t="shared" si="2"/>
        <v>0</v>
      </c>
      <c r="I41" s="185">
        <f t="shared" si="0"/>
        <v>0</v>
      </c>
    </row>
    <row r="42" spans="1:9" s="66" customFormat="1" ht="12.75">
      <c r="A42" s="70" t="s">
        <v>60</v>
      </c>
      <c r="B42" s="27" t="s">
        <v>290</v>
      </c>
      <c r="C42" s="27" t="s">
        <v>291</v>
      </c>
      <c r="D42" s="27" t="s">
        <v>295</v>
      </c>
      <c r="E42" s="71" t="s">
        <v>58</v>
      </c>
      <c r="F42" s="27" t="s">
        <v>61</v>
      </c>
      <c r="G42" s="69">
        <f>1000-450.13025+9000-42.08385-776.9306-3954.69304</f>
        <v>4776.162259999999</v>
      </c>
      <c r="H42" s="175">
        <v>0</v>
      </c>
      <c r="I42" s="185">
        <f t="shared" si="0"/>
        <v>0</v>
      </c>
    </row>
    <row r="43" spans="1:9" s="66" customFormat="1" ht="37.5" customHeight="1">
      <c r="A43" s="75" t="s">
        <v>62</v>
      </c>
      <c r="B43" s="27" t="s">
        <v>290</v>
      </c>
      <c r="C43" s="27" t="s">
        <v>291</v>
      </c>
      <c r="D43" s="27"/>
      <c r="E43" s="68" t="s">
        <v>63</v>
      </c>
      <c r="F43" s="62"/>
      <c r="G43" s="69">
        <f aca="true" t="shared" si="3" ref="G43:H45">G44</f>
        <v>500</v>
      </c>
      <c r="H43" s="175">
        <f t="shared" si="3"/>
        <v>0</v>
      </c>
      <c r="I43" s="185">
        <f t="shared" si="0"/>
        <v>0</v>
      </c>
    </row>
    <row r="44" spans="1:9" s="66" customFormat="1" ht="42" customHeight="1">
      <c r="A44" s="75" t="s">
        <v>64</v>
      </c>
      <c r="B44" s="27" t="s">
        <v>290</v>
      </c>
      <c r="C44" s="27" t="s">
        <v>291</v>
      </c>
      <c r="D44" s="27" t="s">
        <v>295</v>
      </c>
      <c r="E44" s="68" t="s">
        <v>65</v>
      </c>
      <c r="G44" s="69">
        <f t="shared" si="3"/>
        <v>500</v>
      </c>
      <c r="H44" s="175">
        <f t="shared" si="3"/>
        <v>0</v>
      </c>
      <c r="I44" s="185">
        <f t="shared" si="0"/>
        <v>0</v>
      </c>
    </row>
    <row r="45" spans="1:9" s="66" customFormat="1" ht="12.75">
      <c r="A45" s="67" t="s">
        <v>37</v>
      </c>
      <c r="B45" s="27" t="s">
        <v>290</v>
      </c>
      <c r="C45" s="27" t="s">
        <v>291</v>
      </c>
      <c r="D45" s="27" t="s">
        <v>295</v>
      </c>
      <c r="E45" s="68" t="s">
        <v>65</v>
      </c>
      <c r="F45" s="71" t="s">
        <v>38</v>
      </c>
      <c r="G45" s="69">
        <f t="shared" si="3"/>
        <v>500</v>
      </c>
      <c r="H45" s="175">
        <f t="shared" si="3"/>
        <v>0</v>
      </c>
      <c r="I45" s="185">
        <f t="shared" si="0"/>
        <v>0</v>
      </c>
    </row>
    <row r="46" spans="1:9" s="66" customFormat="1" ht="12.75">
      <c r="A46" s="70" t="s">
        <v>60</v>
      </c>
      <c r="B46" s="27" t="s">
        <v>290</v>
      </c>
      <c r="C46" s="27" t="s">
        <v>291</v>
      </c>
      <c r="D46" s="27" t="s">
        <v>295</v>
      </c>
      <c r="E46" s="68" t="s">
        <v>65</v>
      </c>
      <c r="F46" s="71" t="s">
        <v>61</v>
      </c>
      <c r="G46" s="76">
        <v>500</v>
      </c>
      <c r="H46" s="174">
        <v>0</v>
      </c>
      <c r="I46" s="185">
        <f t="shared" si="0"/>
        <v>0</v>
      </c>
    </row>
    <row r="47" spans="1:9" s="66" customFormat="1" ht="13.5">
      <c r="A47" s="72" t="s">
        <v>66</v>
      </c>
      <c r="B47" s="27" t="s">
        <v>290</v>
      </c>
      <c r="C47" s="27" t="s">
        <v>291</v>
      </c>
      <c r="D47" s="27" t="s">
        <v>296</v>
      </c>
      <c r="E47" s="61"/>
      <c r="F47" s="29"/>
      <c r="G47" s="25">
        <f>G48+G54</f>
        <v>10013.8</v>
      </c>
      <c r="H47" s="176">
        <f>H48+H54</f>
        <v>4040.30157</v>
      </c>
      <c r="I47" s="185">
        <f t="shared" si="0"/>
        <v>0.40347336375801396</v>
      </c>
    </row>
    <row r="48" spans="1:9" s="66" customFormat="1" ht="37.5" customHeight="1">
      <c r="A48" s="28" t="s">
        <v>68</v>
      </c>
      <c r="B48" s="27" t="s">
        <v>290</v>
      </c>
      <c r="C48" s="27" t="s">
        <v>291</v>
      </c>
      <c r="D48" s="27" t="s">
        <v>296</v>
      </c>
      <c r="E48" s="71" t="s">
        <v>69</v>
      </c>
      <c r="F48" s="27"/>
      <c r="G48" s="76">
        <f>G49</f>
        <v>9993.8</v>
      </c>
      <c r="H48" s="174">
        <f>H49</f>
        <v>4040.30157</v>
      </c>
      <c r="I48" s="185">
        <f t="shared" si="0"/>
        <v>0.40428081110288383</v>
      </c>
    </row>
    <row r="49" spans="1:9" s="66" customFormat="1" ht="76.5">
      <c r="A49" s="28" t="s">
        <v>70</v>
      </c>
      <c r="B49" s="27" t="s">
        <v>290</v>
      </c>
      <c r="C49" s="27" t="s">
        <v>291</v>
      </c>
      <c r="D49" s="27" t="s">
        <v>296</v>
      </c>
      <c r="E49" s="71" t="s">
        <v>71</v>
      </c>
      <c r="F49" s="27"/>
      <c r="G49" s="76">
        <f>G50+G52</f>
        <v>9993.8</v>
      </c>
      <c r="H49" s="174">
        <f>H50+H52</f>
        <v>4040.30157</v>
      </c>
      <c r="I49" s="185">
        <f t="shared" si="0"/>
        <v>0.40428081110288383</v>
      </c>
    </row>
    <row r="50" spans="1:9" s="66" customFormat="1" ht="25.5">
      <c r="A50" s="77" t="s">
        <v>33</v>
      </c>
      <c r="B50" s="27" t="s">
        <v>290</v>
      </c>
      <c r="C50" s="27" t="s">
        <v>291</v>
      </c>
      <c r="D50" s="27" t="s">
        <v>296</v>
      </c>
      <c r="E50" s="71" t="s">
        <v>71</v>
      </c>
      <c r="F50" s="27" t="s">
        <v>34</v>
      </c>
      <c r="G50" s="76">
        <f>G51</f>
        <v>4630</v>
      </c>
      <c r="H50" s="174">
        <f>H51</f>
        <v>1873.69457</v>
      </c>
      <c r="I50" s="185">
        <f t="shared" si="0"/>
        <v>0.4046856522678186</v>
      </c>
    </row>
    <row r="51" spans="1:9" s="66" customFormat="1" ht="25.5">
      <c r="A51" s="77" t="s">
        <v>35</v>
      </c>
      <c r="B51" s="27" t="s">
        <v>290</v>
      </c>
      <c r="C51" s="27" t="s">
        <v>291</v>
      </c>
      <c r="D51" s="27" t="s">
        <v>296</v>
      </c>
      <c r="E51" s="71" t="s">
        <v>71</v>
      </c>
      <c r="F51" s="27" t="s">
        <v>36</v>
      </c>
      <c r="G51" s="76">
        <f>6150-2020+500</f>
        <v>4630</v>
      </c>
      <c r="H51" s="174">
        <v>1873.69457</v>
      </c>
      <c r="I51" s="185">
        <f t="shared" si="0"/>
        <v>0.4046856522678186</v>
      </c>
    </row>
    <row r="52" spans="1:9" s="66" customFormat="1" ht="12.75">
      <c r="A52" s="67" t="s">
        <v>37</v>
      </c>
      <c r="B52" s="27" t="s">
        <v>290</v>
      </c>
      <c r="C52" s="27" t="s">
        <v>291</v>
      </c>
      <c r="D52" s="27" t="s">
        <v>296</v>
      </c>
      <c r="E52" s="71" t="s">
        <v>71</v>
      </c>
      <c r="F52" s="27" t="s">
        <v>38</v>
      </c>
      <c r="G52" s="76">
        <f>G53</f>
        <v>5363.8</v>
      </c>
      <c r="H52" s="174">
        <f>H53</f>
        <v>2166.607</v>
      </c>
      <c r="I52" s="185">
        <f t="shared" si="0"/>
        <v>0.4039313546366382</v>
      </c>
    </row>
    <row r="53" spans="1:9" s="66" customFormat="1" ht="12.75">
      <c r="A53" s="67" t="s">
        <v>39</v>
      </c>
      <c r="B53" s="27" t="s">
        <v>290</v>
      </c>
      <c r="C53" s="27" t="s">
        <v>291</v>
      </c>
      <c r="D53" s="27" t="s">
        <v>296</v>
      </c>
      <c r="E53" s="71" t="s">
        <v>71</v>
      </c>
      <c r="F53" s="27" t="s">
        <v>40</v>
      </c>
      <c r="G53" s="76">
        <f>2020+10000-3000-1676.2-300-380-300-1000</f>
        <v>5363.8</v>
      </c>
      <c r="H53" s="174">
        <v>2166.607</v>
      </c>
      <c r="I53" s="185">
        <f t="shared" si="0"/>
        <v>0.4039313546366382</v>
      </c>
    </row>
    <row r="54" spans="1:9" s="66" customFormat="1" ht="38.25">
      <c r="A54" s="28" t="s">
        <v>72</v>
      </c>
      <c r="B54" s="27" t="s">
        <v>290</v>
      </c>
      <c r="C54" s="27" t="s">
        <v>291</v>
      </c>
      <c r="D54" s="27" t="s">
        <v>296</v>
      </c>
      <c r="E54" s="71" t="s">
        <v>73</v>
      </c>
      <c r="F54" s="71"/>
      <c r="G54" s="69">
        <f aca="true" t="shared" si="4" ref="G54:H56">G55</f>
        <v>20</v>
      </c>
      <c r="H54" s="175">
        <f t="shared" si="4"/>
        <v>0</v>
      </c>
      <c r="I54" s="185">
        <f t="shared" si="0"/>
        <v>0</v>
      </c>
    </row>
    <row r="55" spans="1:9" s="66" customFormat="1" ht="12.75">
      <c r="A55" s="28" t="s">
        <v>74</v>
      </c>
      <c r="B55" s="27" t="s">
        <v>290</v>
      </c>
      <c r="C55" s="27" t="s">
        <v>291</v>
      </c>
      <c r="D55" s="27" t="s">
        <v>296</v>
      </c>
      <c r="E55" s="71" t="s">
        <v>75</v>
      </c>
      <c r="F55" s="71"/>
      <c r="G55" s="69">
        <f t="shared" si="4"/>
        <v>20</v>
      </c>
      <c r="H55" s="175">
        <f t="shared" si="4"/>
        <v>0</v>
      </c>
      <c r="I55" s="185">
        <f t="shared" si="0"/>
        <v>0</v>
      </c>
    </row>
    <row r="56" spans="1:9" s="66" customFormat="1" ht="25.5">
      <c r="A56" s="77" t="s">
        <v>33</v>
      </c>
      <c r="B56" s="27" t="s">
        <v>290</v>
      </c>
      <c r="C56" s="27" t="s">
        <v>291</v>
      </c>
      <c r="D56" s="27" t="s">
        <v>296</v>
      </c>
      <c r="E56" s="71" t="s">
        <v>75</v>
      </c>
      <c r="F56" s="71" t="s">
        <v>34</v>
      </c>
      <c r="G56" s="69">
        <f t="shared" si="4"/>
        <v>20</v>
      </c>
      <c r="H56" s="175">
        <f t="shared" si="4"/>
        <v>0</v>
      </c>
      <c r="I56" s="185">
        <f t="shared" si="0"/>
        <v>0</v>
      </c>
    </row>
    <row r="57" spans="1:9" s="66" customFormat="1" ht="25.5">
      <c r="A57" s="77" t="s">
        <v>35</v>
      </c>
      <c r="B57" s="27" t="s">
        <v>290</v>
      </c>
      <c r="C57" s="27" t="s">
        <v>291</v>
      </c>
      <c r="D57" s="27" t="s">
        <v>296</v>
      </c>
      <c r="E57" s="71" t="s">
        <v>75</v>
      </c>
      <c r="F57" s="71" t="s">
        <v>36</v>
      </c>
      <c r="G57" s="69">
        <v>20</v>
      </c>
      <c r="H57" s="175">
        <v>0</v>
      </c>
      <c r="I57" s="185">
        <f t="shared" si="0"/>
        <v>0</v>
      </c>
    </row>
    <row r="58" spans="1:9" s="66" customFormat="1" ht="13.5">
      <c r="A58" s="72" t="s">
        <v>82</v>
      </c>
      <c r="B58" s="27" t="s">
        <v>290</v>
      </c>
      <c r="C58" s="27" t="s">
        <v>292</v>
      </c>
      <c r="D58" s="27" t="s">
        <v>297</v>
      </c>
      <c r="E58" s="62"/>
      <c r="F58" s="111"/>
      <c r="G58" s="93">
        <f>G61+G59</f>
        <v>1178</v>
      </c>
      <c r="H58" s="177">
        <f>H61+H59</f>
        <v>893.232</v>
      </c>
      <c r="I58" s="185">
        <f t="shared" si="0"/>
        <v>0.7582614601018676</v>
      </c>
    </row>
    <row r="59" spans="1:9" s="66" customFormat="1" ht="76.5">
      <c r="A59" s="67" t="s">
        <v>19</v>
      </c>
      <c r="B59" s="27" t="s">
        <v>290</v>
      </c>
      <c r="C59" s="27" t="s">
        <v>292</v>
      </c>
      <c r="D59" s="27" t="s">
        <v>297</v>
      </c>
      <c r="E59" s="71" t="s">
        <v>44</v>
      </c>
      <c r="F59" s="71" t="s">
        <v>20</v>
      </c>
      <c r="G59" s="69">
        <f>G60</f>
        <v>230</v>
      </c>
      <c r="H59" s="175">
        <f>H60</f>
        <v>182.232</v>
      </c>
      <c r="I59" s="185">
        <f t="shared" si="0"/>
        <v>0.7923130434782608</v>
      </c>
    </row>
    <row r="60" spans="1:9" s="66" customFormat="1" ht="25.5">
      <c r="A60" s="67" t="s">
        <v>21</v>
      </c>
      <c r="B60" s="27" t="s">
        <v>290</v>
      </c>
      <c r="C60" s="27" t="s">
        <v>292</v>
      </c>
      <c r="D60" s="27" t="s">
        <v>297</v>
      </c>
      <c r="E60" s="71" t="s">
        <v>44</v>
      </c>
      <c r="F60" s="71" t="s">
        <v>22</v>
      </c>
      <c r="G60" s="69">
        <v>230</v>
      </c>
      <c r="H60" s="175">
        <v>182.232</v>
      </c>
      <c r="I60" s="185">
        <f t="shared" si="0"/>
        <v>0.7923130434782608</v>
      </c>
    </row>
    <row r="61" spans="1:9" s="20" customFormat="1" ht="12.75">
      <c r="A61" s="79" t="s">
        <v>84</v>
      </c>
      <c r="B61" s="27" t="s">
        <v>290</v>
      </c>
      <c r="C61" s="27" t="s">
        <v>292</v>
      </c>
      <c r="D61" s="27" t="s">
        <v>297</v>
      </c>
      <c r="E61" s="71" t="s">
        <v>86</v>
      </c>
      <c r="F61" s="27"/>
      <c r="G61" s="76">
        <f>G62</f>
        <v>948</v>
      </c>
      <c r="H61" s="174">
        <f>H62</f>
        <v>711</v>
      </c>
      <c r="I61" s="185">
        <f t="shared" si="0"/>
        <v>0.75</v>
      </c>
    </row>
    <row r="62" spans="1:9" s="20" customFormat="1" ht="25.5">
      <c r="A62" s="79" t="s">
        <v>298</v>
      </c>
      <c r="B62" s="27" t="s">
        <v>290</v>
      </c>
      <c r="C62" s="27" t="s">
        <v>292</v>
      </c>
      <c r="D62" s="27" t="s">
        <v>297</v>
      </c>
      <c r="E62" s="71" t="s">
        <v>86</v>
      </c>
      <c r="F62" s="27"/>
      <c r="G62" s="76">
        <f>G63</f>
        <v>948</v>
      </c>
      <c r="H62" s="174">
        <f>H63</f>
        <v>711</v>
      </c>
      <c r="I62" s="185">
        <f t="shared" si="0"/>
        <v>0.75</v>
      </c>
    </row>
    <row r="63" spans="1:9" s="20" customFormat="1" ht="38.25">
      <c r="A63" s="79" t="s">
        <v>87</v>
      </c>
      <c r="B63" s="27" t="s">
        <v>290</v>
      </c>
      <c r="C63" s="27" t="s">
        <v>292</v>
      </c>
      <c r="D63" s="27" t="s">
        <v>297</v>
      </c>
      <c r="E63" s="71" t="s">
        <v>86</v>
      </c>
      <c r="F63" s="71"/>
      <c r="G63" s="69">
        <f>G64+G66</f>
        <v>948</v>
      </c>
      <c r="H63" s="175">
        <f>H64+H66</f>
        <v>711</v>
      </c>
      <c r="I63" s="185">
        <f t="shared" si="0"/>
        <v>0.75</v>
      </c>
    </row>
    <row r="64" spans="1:9" s="20" customFormat="1" ht="51.75" customHeight="1">
      <c r="A64" s="67" t="s">
        <v>19</v>
      </c>
      <c r="B64" s="27" t="s">
        <v>290</v>
      </c>
      <c r="C64" s="27" t="s">
        <v>292</v>
      </c>
      <c r="D64" s="27" t="s">
        <v>297</v>
      </c>
      <c r="E64" s="71" t="s">
        <v>86</v>
      </c>
      <c r="F64" s="71" t="s">
        <v>20</v>
      </c>
      <c r="G64" s="69">
        <f>G65</f>
        <v>853.7</v>
      </c>
      <c r="H64" s="175">
        <f>H65</f>
        <v>690.88515</v>
      </c>
      <c r="I64" s="185">
        <f t="shared" si="0"/>
        <v>0.8092832962398968</v>
      </c>
    </row>
    <row r="65" spans="1:9" s="20" customFormat="1" ht="25.5">
      <c r="A65" s="67" t="s">
        <v>21</v>
      </c>
      <c r="B65" s="27" t="s">
        <v>290</v>
      </c>
      <c r="C65" s="27" t="s">
        <v>292</v>
      </c>
      <c r="D65" s="27" t="s">
        <v>297</v>
      </c>
      <c r="E65" s="71" t="s">
        <v>86</v>
      </c>
      <c r="F65" s="71" t="s">
        <v>22</v>
      </c>
      <c r="G65" s="69">
        <f>705.7+62+9+77</f>
        <v>853.7</v>
      </c>
      <c r="H65" s="175">
        <v>690.88515</v>
      </c>
      <c r="I65" s="185">
        <f t="shared" si="0"/>
        <v>0.8092832962398968</v>
      </c>
    </row>
    <row r="66" spans="1:9" s="20" customFormat="1" ht="25.5">
      <c r="A66" s="77" t="s">
        <v>33</v>
      </c>
      <c r="B66" s="27" t="s">
        <v>290</v>
      </c>
      <c r="C66" s="27" t="s">
        <v>292</v>
      </c>
      <c r="D66" s="27" t="s">
        <v>297</v>
      </c>
      <c r="E66" s="71" t="s">
        <v>86</v>
      </c>
      <c r="F66" s="71" t="s">
        <v>34</v>
      </c>
      <c r="G66" s="69">
        <f>G67</f>
        <v>94.3</v>
      </c>
      <c r="H66" s="175">
        <f>H67</f>
        <v>20.11485</v>
      </c>
      <c r="I66" s="185">
        <f t="shared" si="0"/>
        <v>0.21330699893955463</v>
      </c>
    </row>
    <row r="67" spans="1:9" s="20" customFormat="1" ht="27" customHeight="1">
      <c r="A67" s="77" t="s">
        <v>35</v>
      </c>
      <c r="B67" s="27" t="s">
        <v>290</v>
      </c>
      <c r="C67" s="27" t="s">
        <v>292</v>
      </c>
      <c r="D67" s="27" t="s">
        <v>297</v>
      </c>
      <c r="E67" s="71" t="s">
        <v>86</v>
      </c>
      <c r="F67" s="71" t="s">
        <v>36</v>
      </c>
      <c r="G67" s="69">
        <v>94.3</v>
      </c>
      <c r="H67" s="175">
        <v>20.11485</v>
      </c>
      <c r="I67" s="185">
        <f t="shared" si="0"/>
        <v>0.21330699893955463</v>
      </c>
    </row>
    <row r="68" spans="1:9" s="20" customFormat="1" ht="18.75" customHeight="1">
      <c r="A68" s="72" t="s">
        <v>88</v>
      </c>
      <c r="B68" s="27" t="s">
        <v>290</v>
      </c>
      <c r="C68" s="27" t="s">
        <v>297</v>
      </c>
      <c r="D68" s="27"/>
      <c r="E68" s="61"/>
      <c r="F68" s="29"/>
      <c r="G68" s="25">
        <f>G69</f>
        <v>226.10000000000002</v>
      </c>
      <c r="H68" s="176">
        <f>H69</f>
        <v>152.8184</v>
      </c>
      <c r="I68" s="185">
        <f t="shared" si="0"/>
        <v>0.6758885448916407</v>
      </c>
    </row>
    <row r="69" spans="1:9" s="20" customFormat="1" ht="37.5" customHeight="1">
      <c r="A69" s="75" t="s">
        <v>62</v>
      </c>
      <c r="B69" s="27" t="s">
        <v>290</v>
      </c>
      <c r="C69" s="27" t="s">
        <v>297</v>
      </c>
      <c r="D69" s="27" t="s">
        <v>299</v>
      </c>
      <c r="E69" s="68" t="s">
        <v>63</v>
      </c>
      <c r="F69" s="111"/>
      <c r="G69" s="69">
        <f>G73+G70+G76+G79</f>
        <v>226.10000000000002</v>
      </c>
      <c r="H69" s="175">
        <f>H73+H70+H76+H79</f>
        <v>152.8184</v>
      </c>
      <c r="I69" s="185">
        <f t="shared" si="0"/>
        <v>0.6758885448916407</v>
      </c>
    </row>
    <row r="70" spans="1:9" s="20" customFormat="1" ht="25.5">
      <c r="A70" s="80" t="s">
        <v>91</v>
      </c>
      <c r="B70" s="27" t="s">
        <v>290</v>
      </c>
      <c r="C70" s="27" t="s">
        <v>297</v>
      </c>
      <c r="D70" s="27" t="s">
        <v>299</v>
      </c>
      <c r="E70" s="68" t="s">
        <v>93</v>
      </c>
      <c r="F70" s="27"/>
      <c r="G70" s="69">
        <f>G71</f>
        <v>7.500000000000011</v>
      </c>
      <c r="H70" s="175">
        <f>H71</f>
        <v>0</v>
      </c>
      <c r="I70" s="185">
        <f t="shared" si="0"/>
        <v>0</v>
      </c>
    </row>
    <row r="71" spans="1:9" s="20" customFormat="1" ht="25.5">
      <c r="A71" s="77" t="s">
        <v>33</v>
      </c>
      <c r="B71" s="27" t="s">
        <v>290</v>
      </c>
      <c r="C71" s="27" t="s">
        <v>297</v>
      </c>
      <c r="D71" s="27" t="s">
        <v>299</v>
      </c>
      <c r="E71" s="68" t="s">
        <v>93</v>
      </c>
      <c r="F71" s="27" t="s">
        <v>34</v>
      </c>
      <c r="G71" s="69">
        <f>G72</f>
        <v>7.500000000000011</v>
      </c>
      <c r="H71" s="175">
        <f>H72</f>
        <v>0</v>
      </c>
      <c r="I71" s="185">
        <f t="shared" si="0"/>
        <v>0</v>
      </c>
    </row>
    <row r="72" spans="1:9" s="20" customFormat="1" ht="25.5">
      <c r="A72" s="77" t="s">
        <v>35</v>
      </c>
      <c r="B72" s="27" t="s">
        <v>290</v>
      </c>
      <c r="C72" s="27" t="s">
        <v>297</v>
      </c>
      <c r="D72" s="27" t="s">
        <v>299</v>
      </c>
      <c r="E72" s="68" t="s">
        <v>93</v>
      </c>
      <c r="F72" s="27" t="s">
        <v>36</v>
      </c>
      <c r="G72" s="69">
        <f>330.8-320-1.8-1.5</f>
        <v>7.500000000000011</v>
      </c>
      <c r="H72" s="175">
        <v>0</v>
      </c>
      <c r="I72" s="185">
        <f t="shared" si="0"/>
        <v>0</v>
      </c>
    </row>
    <row r="73" spans="1:9" s="20" customFormat="1" ht="32.25" customHeight="1">
      <c r="A73" s="79" t="s">
        <v>94</v>
      </c>
      <c r="B73" s="27" t="s">
        <v>290</v>
      </c>
      <c r="C73" s="27" t="s">
        <v>297</v>
      </c>
      <c r="D73" s="27" t="s">
        <v>299</v>
      </c>
      <c r="E73" s="68" t="s">
        <v>95</v>
      </c>
      <c r="F73" s="114"/>
      <c r="G73" s="38">
        <f>G74</f>
        <v>33.099999999999994</v>
      </c>
      <c r="H73" s="178">
        <f>H74</f>
        <v>9</v>
      </c>
      <c r="I73" s="185">
        <f t="shared" si="0"/>
        <v>0.27190332326283995</v>
      </c>
    </row>
    <row r="74" spans="1:9" s="20" customFormat="1" ht="25.5">
      <c r="A74" s="77" t="s">
        <v>33</v>
      </c>
      <c r="B74" s="27" t="s">
        <v>290</v>
      </c>
      <c r="C74" s="27" t="s">
        <v>297</v>
      </c>
      <c r="D74" s="27" t="s">
        <v>299</v>
      </c>
      <c r="E74" s="68" t="s">
        <v>95</v>
      </c>
      <c r="F74" s="27" t="s">
        <v>34</v>
      </c>
      <c r="G74" s="69">
        <f>G75</f>
        <v>33.099999999999994</v>
      </c>
      <c r="H74" s="175">
        <f>H75</f>
        <v>9</v>
      </c>
      <c r="I74" s="185">
        <f t="shared" si="0"/>
        <v>0.27190332326283995</v>
      </c>
    </row>
    <row r="75" spans="1:9" s="20" customFormat="1" ht="25.5">
      <c r="A75" s="77" t="s">
        <v>35</v>
      </c>
      <c r="B75" s="27" t="s">
        <v>290</v>
      </c>
      <c r="C75" s="27" t="s">
        <v>297</v>
      </c>
      <c r="D75" s="27" t="s">
        <v>299</v>
      </c>
      <c r="E75" s="68" t="s">
        <v>95</v>
      </c>
      <c r="F75" s="27" t="s">
        <v>36</v>
      </c>
      <c r="G75" s="69">
        <f>92.3-66.2-13+70+1.5-76+57-32.5</f>
        <v>33.099999999999994</v>
      </c>
      <c r="H75" s="175">
        <v>9</v>
      </c>
      <c r="I75" s="185">
        <f aca="true" t="shared" si="5" ref="I75:I138">H75/G75</f>
        <v>0.27190332326283995</v>
      </c>
    </row>
    <row r="76" spans="1:9" s="20" customFormat="1" ht="25.5">
      <c r="A76" s="80" t="s">
        <v>96</v>
      </c>
      <c r="B76" s="27" t="s">
        <v>290</v>
      </c>
      <c r="C76" s="27" t="s">
        <v>297</v>
      </c>
      <c r="D76" s="27" t="s">
        <v>300</v>
      </c>
      <c r="E76" s="68" t="s">
        <v>98</v>
      </c>
      <c r="F76" s="27"/>
      <c r="G76" s="69">
        <f>G77</f>
        <v>132.2</v>
      </c>
      <c r="H76" s="175">
        <f>H77</f>
        <v>118.6</v>
      </c>
      <c r="I76" s="185">
        <f t="shared" si="5"/>
        <v>0.897125567322239</v>
      </c>
    </row>
    <row r="77" spans="1:9" s="20" customFormat="1" ht="25.5">
      <c r="A77" s="77" t="s">
        <v>33</v>
      </c>
      <c r="B77" s="27" t="s">
        <v>290</v>
      </c>
      <c r="C77" s="27" t="s">
        <v>297</v>
      </c>
      <c r="D77" s="27" t="s">
        <v>300</v>
      </c>
      <c r="E77" s="68" t="s">
        <v>98</v>
      </c>
      <c r="F77" s="27" t="s">
        <v>34</v>
      </c>
      <c r="G77" s="69">
        <f>G78</f>
        <v>132.2</v>
      </c>
      <c r="H77" s="175">
        <f>H78</f>
        <v>118.6</v>
      </c>
      <c r="I77" s="185">
        <f t="shared" si="5"/>
        <v>0.897125567322239</v>
      </c>
    </row>
    <row r="78" spans="1:9" s="20" customFormat="1" ht="21" customHeight="1">
      <c r="A78" s="77" t="s">
        <v>35</v>
      </c>
      <c r="B78" s="27" t="s">
        <v>290</v>
      </c>
      <c r="C78" s="27" t="s">
        <v>297</v>
      </c>
      <c r="D78" s="27" t="s">
        <v>300</v>
      </c>
      <c r="E78" s="68" t="s">
        <v>98</v>
      </c>
      <c r="F78" s="27" t="s">
        <v>36</v>
      </c>
      <c r="G78" s="69">
        <f>99.7+32.5</f>
        <v>132.2</v>
      </c>
      <c r="H78" s="175">
        <v>118.6</v>
      </c>
      <c r="I78" s="185">
        <f t="shared" si="5"/>
        <v>0.897125567322239</v>
      </c>
    </row>
    <row r="79" spans="1:9" s="20" customFormat="1" ht="38.25" customHeight="1">
      <c r="A79" s="80" t="s">
        <v>99</v>
      </c>
      <c r="B79" s="27" t="s">
        <v>290</v>
      </c>
      <c r="C79" s="27" t="s">
        <v>297</v>
      </c>
      <c r="D79" s="27" t="s">
        <v>300</v>
      </c>
      <c r="E79" s="68" t="s">
        <v>301</v>
      </c>
      <c r="F79" s="27"/>
      <c r="G79" s="69">
        <f>G80</f>
        <v>53.3</v>
      </c>
      <c r="H79" s="175">
        <f>H80</f>
        <v>25.2184</v>
      </c>
      <c r="I79" s="185">
        <f t="shared" si="5"/>
        <v>0.473140712945591</v>
      </c>
    </row>
    <row r="80" spans="1:9" s="20" customFormat="1" ht="25.5">
      <c r="A80" s="77" t="s">
        <v>33</v>
      </c>
      <c r="B80" s="27" t="s">
        <v>290</v>
      </c>
      <c r="C80" s="27" t="s">
        <v>297</v>
      </c>
      <c r="D80" s="27" t="s">
        <v>300</v>
      </c>
      <c r="E80" s="68" t="s">
        <v>301</v>
      </c>
      <c r="F80" s="27" t="s">
        <v>34</v>
      </c>
      <c r="G80" s="69">
        <f>G81</f>
        <v>53.3</v>
      </c>
      <c r="H80" s="175">
        <f>H81</f>
        <v>25.2184</v>
      </c>
      <c r="I80" s="185">
        <f t="shared" si="5"/>
        <v>0.473140712945591</v>
      </c>
    </row>
    <row r="81" spans="1:9" s="20" customFormat="1" ht="25.5">
      <c r="A81" s="77" t="s">
        <v>35</v>
      </c>
      <c r="B81" s="27" t="s">
        <v>290</v>
      </c>
      <c r="C81" s="27" t="s">
        <v>297</v>
      </c>
      <c r="D81" s="27" t="s">
        <v>300</v>
      </c>
      <c r="E81" s="68" t="s">
        <v>301</v>
      </c>
      <c r="F81" s="27" t="s">
        <v>36</v>
      </c>
      <c r="G81" s="69">
        <f>84+39.3-70</f>
        <v>53.3</v>
      </c>
      <c r="H81" s="175">
        <v>25.2184</v>
      </c>
      <c r="I81" s="185">
        <f t="shared" si="5"/>
        <v>0.473140712945591</v>
      </c>
    </row>
    <row r="82" spans="1:10" s="20" customFormat="1" ht="13.5">
      <c r="A82" s="72" t="s">
        <v>101</v>
      </c>
      <c r="B82" s="27" t="s">
        <v>290</v>
      </c>
      <c r="C82" s="27" t="s">
        <v>293</v>
      </c>
      <c r="D82" s="27"/>
      <c r="E82" s="62"/>
      <c r="F82" s="111"/>
      <c r="G82" s="78">
        <f>G83+G106+G114</f>
        <v>98519.2706</v>
      </c>
      <c r="H82" s="179">
        <f>H83+H106+H114</f>
        <v>48969.4046778</v>
      </c>
      <c r="I82" s="185">
        <f t="shared" si="5"/>
        <v>0.49705407256435774</v>
      </c>
      <c r="J82" s="53"/>
    </row>
    <row r="83" spans="1:9" s="20" customFormat="1" ht="13.5">
      <c r="A83" s="81" t="s">
        <v>103</v>
      </c>
      <c r="B83" s="27" t="s">
        <v>290</v>
      </c>
      <c r="C83" s="27" t="s">
        <v>293</v>
      </c>
      <c r="D83" s="27" t="s">
        <v>299</v>
      </c>
      <c r="E83" s="62"/>
      <c r="F83" s="111"/>
      <c r="G83" s="78">
        <f>G84+G96</f>
        <v>98094.2706</v>
      </c>
      <c r="H83" s="179">
        <f>H84+H96</f>
        <v>48675.297677799994</v>
      </c>
      <c r="I83" s="185">
        <f t="shared" si="5"/>
        <v>0.4962093849118237</v>
      </c>
    </row>
    <row r="84" spans="1:9" s="20" customFormat="1" ht="51">
      <c r="A84" s="28" t="s">
        <v>105</v>
      </c>
      <c r="B84" s="27" t="s">
        <v>290</v>
      </c>
      <c r="C84" s="27" t="s">
        <v>293</v>
      </c>
      <c r="D84" s="27" t="s">
        <v>299</v>
      </c>
      <c r="E84" s="68" t="s">
        <v>106</v>
      </c>
      <c r="F84" s="111"/>
      <c r="G84" s="25">
        <f>G85</f>
        <v>86096.31</v>
      </c>
      <c r="H84" s="176">
        <f>H85</f>
        <v>41810.7830278</v>
      </c>
      <c r="I84" s="185">
        <f t="shared" si="5"/>
        <v>0.48562804872589777</v>
      </c>
    </row>
    <row r="85" spans="1:9" s="20" customFormat="1" ht="25.5">
      <c r="A85" s="79" t="s">
        <v>107</v>
      </c>
      <c r="B85" s="27" t="s">
        <v>290</v>
      </c>
      <c r="C85" s="27" t="s">
        <v>293</v>
      </c>
      <c r="D85" s="27" t="s">
        <v>299</v>
      </c>
      <c r="E85" s="68" t="s">
        <v>109</v>
      </c>
      <c r="F85" s="111"/>
      <c r="G85" s="69">
        <f>G86+G90+G93+G88</f>
        <v>86096.31</v>
      </c>
      <c r="H85" s="175">
        <f>H86+H90+H93+H88</f>
        <v>41810.7830278</v>
      </c>
      <c r="I85" s="185">
        <f t="shared" si="5"/>
        <v>0.48562804872589777</v>
      </c>
    </row>
    <row r="86" spans="1:9" s="20" customFormat="1" ht="12.75">
      <c r="A86" s="77" t="s">
        <v>108</v>
      </c>
      <c r="B86" s="27" t="s">
        <v>290</v>
      </c>
      <c r="C86" s="27" t="s">
        <v>293</v>
      </c>
      <c r="D86" s="27" t="s">
        <v>299</v>
      </c>
      <c r="E86" s="68" t="s">
        <v>109</v>
      </c>
      <c r="F86" s="27" t="s">
        <v>34</v>
      </c>
      <c r="G86" s="69">
        <f>G87</f>
        <v>45644.44999999999</v>
      </c>
      <c r="H86" s="175">
        <f>H87</f>
        <v>7191</v>
      </c>
      <c r="I86" s="185">
        <f t="shared" si="5"/>
        <v>0.157543797767308</v>
      </c>
    </row>
    <row r="87" spans="1:9" s="20" customFormat="1" ht="25.5">
      <c r="A87" s="77" t="s">
        <v>33</v>
      </c>
      <c r="B87" s="27" t="s">
        <v>290</v>
      </c>
      <c r="C87" s="27" t="s">
        <v>293</v>
      </c>
      <c r="D87" s="27" t="s">
        <v>299</v>
      </c>
      <c r="E87" s="68" t="s">
        <v>109</v>
      </c>
      <c r="F87" s="27" t="s">
        <v>36</v>
      </c>
      <c r="G87" s="69">
        <f>15135.7-700-1324.4-6100.6+200+120+2035.3+50000+15976.92-8610.8-9478.4-500-8771.9-1638-70-500-50-79.37</f>
        <v>45644.44999999999</v>
      </c>
      <c r="H87" s="175">
        <v>7191</v>
      </c>
      <c r="I87" s="185">
        <f t="shared" si="5"/>
        <v>0.157543797767308</v>
      </c>
    </row>
    <row r="88" spans="1:9" s="20" customFormat="1" ht="12.75">
      <c r="A88" s="77" t="s">
        <v>37</v>
      </c>
      <c r="B88" s="27" t="s">
        <v>290</v>
      </c>
      <c r="C88" s="27" t="s">
        <v>293</v>
      </c>
      <c r="D88" s="27" t="s">
        <v>299</v>
      </c>
      <c r="E88" s="68" t="s">
        <v>109</v>
      </c>
      <c r="F88" s="27" t="s">
        <v>38</v>
      </c>
      <c r="G88" s="69">
        <f>G89</f>
        <v>200</v>
      </c>
      <c r="H88" s="175">
        <f>H89</f>
        <v>150</v>
      </c>
      <c r="I88" s="185">
        <f t="shared" si="5"/>
        <v>0.75</v>
      </c>
    </row>
    <row r="89" spans="1:9" s="20" customFormat="1" ht="12.75">
      <c r="A89" s="77" t="s">
        <v>39</v>
      </c>
      <c r="B89" s="27" t="s">
        <v>290</v>
      </c>
      <c r="C89" s="27" t="s">
        <v>293</v>
      </c>
      <c r="D89" s="27" t="s">
        <v>299</v>
      </c>
      <c r="E89" s="68" t="s">
        <v>109</v>
      </c>
      <c r="F89" s="27" t="s">
        <v>40</v>
      </c>
      <c r="G89" s="69">
        <v>200</v>
      </c>
      <c r="H89" s="175">
        <v>150</v>
      </c>
      <c r="I89" s="185">
        <f t="shared" si="5"/>
        <v>0.75</v>
      </c>
    </row>
    <row r="90" spans="1:13" s="94" customFormat="1" ht="25.5">
      <c r="A90" s="77" t="s">
        <v>110</v>
      </c>
      <c r="B90" s="27" t="s">
        <v>290</v>
      </c>
      <c r="C90" s="27" t="s">
        <v>293</v>
      </c>
      <c r="D90" s="27" t="s">
        <v>299</v>
      </c>
      <c r="E90" s="68" t="s">
        <v>111</v>
      </c>
      <c r="F90" s="27"/>
      <c r="G90" s="76">
        <f>G91</f>
        <v>28534.76</v>
      </c>
      <c r="H90" s="174">
        <f>H91</f>
        <v>22862.53303</v>
      </c>
      <c r="I90" s="185">
        <f t="shared" si="5"/>
        <v>0.8012169378680599</v>
      </c>
      <c r="M90" s="20"/>
    </row>
    <row r="91" spans="1:9" s="20" customFormat="1" ht="25.5">
      <c r="A91" s="77" t="s">
        <v>33</v>
      </c>
      <c r="B91" s="27" t="s">
        <v>290</v>
      </c>
      <c r="C91" s="27" t="s">
        <v>293</v>
      </c>
      <c r="D91" s="27" t="s">
        <v>299</v>
      </c>
      <c r="E91" s="68" t="s">
        <v>111</v>
      </c>
      <c r="F91" s="27" t="s">
        <v>34</v>
      </c>
      <c r="G91" s="76">
        <f>G92</f>
        <v>28534.76</v>
      </c>
      <c r="H91" s="174">
        <f>H92</f>
        <v>22862.53303</v>
      </c>
      <c r="I91" s="185">
        <f t="shared" si="5"/>
        <v>0.8012169378680599</v>
      </c>
    </row>
    <row r="92" spans="1:9" s="20" customFormat="1" ht="23.25" customHeight="1">
      <c r="A92" s="77" t="s">
        <v>35</v>
      </c>
      <c r="B92" s="27" t="s">
        <v>290</v>
      </c>
      <c r="C92" s="27" t="s">
        <v>293</v>
      </c>
      <c r="D92" s="27" t="s">
        <v>299</v>
      </c>
      <c r="E92" s="68" t="s">
        <v>111</v>
      </c>
      <c r="F92" s="27" t="s">
        <v>36</v>
      </c>
      <c r="G92" s="76">
        <f>28019.1-2730+2877.73+546.73-78.8-100</f>
        <v>28534.76</v>
      </c>
      <c r="H92" s="174">
        <v>22862.53303</v>
      </c>
      <c r="I92" s="185">
        <f t="shared" si="5"/>
        <v>0.8012169378680599</v>
      </c>
    </row>
    <row r="93" spans="1:9" s="20" customFormat="1" ht="63" customHeight="1">
      <c r="A93" s="77" t="s">
        <v>112</v>
      </c>
      <c r="B93" s="27" t="s">
        <v>290</v>
      </c>
      <c r="C93" s="27" t="s">
        <v>293</v>
      </c>
      <c r="D93" s="27" t="s">
        <v>299</v>
      </c>
      <c r="E93" s="68" t="s">
        <v>113</v>
      </c>
      <c r="F93" s="71"/>
      <c r="G93" s="69">
        <f>G94</f>
        <v>11717.1</v>
      </c>
      <c r="H93" s="175">
        <f>H94</f>
        <v>11607.2499978</v>
      </c>
      <c r="I93" s="185">
        <f t="shared" si="5"/>
        <v>0.9906248131192872</v>
      </c>
    </row>
    <row r="94" spans="1:9" s="20" customFormat="1" ht="23.25" customHeight="1">
      <c r="A94" s="77" t="s">
        <v>33</v>
      </c>
      <c r="B94" s="27" t="s">
        <v>290</v>
      </c>
      <c r="C94" s="27" t="s">
        <v>293</v>
      </c>
      <c r="D94" s="27" t="s">
        <v>299</v>
      </c>
      <c r="E94" s="68" t="s">
        <v>113</v>
      </c>
      <c r="F94" s="71" t="s">
        <v>34</v>
      </c>
      <c r="G94" s="69">
        <f>G95</f>
        <v>11717.1</v>
      </c>
      <c r="H94" s="175">
        <f>H95</f>
        <v>11607.2499978</v>
      </c>
      <c r="I94" s="185">
        <f t="shared" si="5"/>
        <v>0.9906248131192872</v>
      </c>
    </row>
    <row r="95" spans="1:9" s="20" customFormat="1" ht="23.25" customHeight="1">
      <c r="A95" s="77" t="s">
        <v>35</v>
      </c>
      <c r="B95" s="27" t="s">
        <v>290</v>
      </c>
      <c r="C95" s="27" t="s">
        <v>293</v>
      </c>
      <c r="D95" s="27" t="s">
        <v>299</v>
      </c>
      <c r="E95" s="68" t="s">
        <v>113</v>
      </c>
      <c r="F95" s="71" t="s">
        <v>36</v>
      </c>
      <c r="G95" s="69">
        <f>11410+649.2-342-0.1</f>
        <v>11717.1</v>
      </c>
      <c r="H95" s="175">
        <v>11607.2499978</v>
      </c>
      <c r="I95" s="185">
        <f t="shared" si="5"/>
        <v>0.9906248131192872</v>
      </c>
    </row>
    <row r="96" spans="1:9" s="20" customFormat="1" ht="63.75">
      <c r="A96" s="77" t="s">
        <v>114</v>
      </c>
      <c r="B96" s="27" t="s">
        <v>290</v>
      </c>
      <c r="C96" s="27" t="s">
        <v>293</v>
      </c>
      <c r="D96" s="27" t="s">
        <v>299</v>
      </c>
      <c r="E96" s="71" t="s">
        <v>115</v>
      </c>
      <c r="F96" s="71"/>
      <c r="G96" s="69">
        <f>G97</f>
        <v>11997.9606</v>
      </c>
      <c r="H96" s="175">
        <f>H97</f>
        <v>6864.51465</v>
      </c>
      <c r="I96" s="185">
        <f t="shared" si="5"/>
        <v>0.5721401227138552</v>
      </c>
    </row>
    <row r="97" spans="1:9" s="20" customFormat="1" ht="12.75">
      <c r="A97" s="77" t="s">
        <v>116</v>
      </c>
      <c r="B97" s="27" t="s">
        <v>290</v>
      </c>
      <c r="C97" s="27" t="s">
        <v>293</v>
      </c>
      <c r="D97" s="27" t="s">
        <v>299</v>
      </c>
      <c r="E97" s="71" t="s">
        <v>117</v>
      </c>
      <c r="F97" s="71"/>
      <c r="G97" s="69">
        <f>G98</f>
        <v>11997.9606</v>
      </c>
      <c r="H97" s="175">
        <f>H98</f>
        <v>6864.51465</v>
      </c>
      <c r="I97" s="185">
        <f t="shared" si="5"/>
        <v>0.5721401227138552</v>
      </c>
    </row>
    <row r="98" spans="1:9" s="20" customFormat="1" ht="25.5">
      <c r="A98" s="83" t="s">
        <v>118</v>
      </c>
      <c r="B98" s="27" t="s">
        <v>290</v>
      </c>
      <c r="C98" s="27" t="s">
        <v>293</v>
      </c>
      <c r="D98" s="27" t="s">
        <v>299</v>
      </c>
      <c r="E98" s="71" t="s">
        <v>119</v>
      </c>
      <c r="F98" s="71"/>
      <c r="G98" s="69">
        <f>G99+G102</f>
        <v>11997.9606</v>
      </c>
      <c r="H98" s="175">
        <f>H99+H102</f>
        <v>6864.51465</v>
      </c>
      <c r="I98" s="185">
        <f t="shared" si="5"/>
        <v>0.5721401227138552</v>
      </c>
    </row>
    <row r="99" spans="1:9" s="20" customFormat="1" ht="25.5">
      <c r="A99" s="77" t="s">
        <v>120</v>
      </c>
      <c r="B99" s="27" t="s">
        <v>290</v>
      </c>
      <c r="C99" s="27" t="s">
        <v>293</v>
      </c>
      <c r="D99" s="27" t="s">
        <v>299</v>
      </c>
      <c r="E99" s="71" t="s">
        <v>121</v>
      </c>
      <c r="F99" s="71"/>
      <c r="G99" s="69">
        <f>G100</f>
        <v>4968.2706</v>
      </c>
      <c r="H99" s="175">
        <f>H100</f>
        <v>0</v>
      </c>
      <c r="I99" s="185">
        <f t="shared" si="5"/>
        <v>0</v>
      </c>
    </row>
    <row r="100" spans="1:9" s="20" customFormat="1" ht="25.5">
      <c r="A100" s="77" t="s">
        <v>33</v>
      </c>
      <c r="B100" s="27" t="s">
        <v>290</v>
      </c>
      <c r="C100" s="27" t="s">
        <v>293</v>
      </c>
      <c r="D100" s="27" t="s">
        <v>299</v>
      </c>
      <c r="E100" s="71" t="s">
        <v>121</v>
      </c>
      <c r="F100" s="71" t="s">
        <v>34</v>
      </c>
      <c r="G100" s="69">
        <f>G101</f>
        <v>4968.2706</v>
      </c>
      <c r="H100" s="175">
        <f>H101</f>
        <v>0</v>
      </c>
      <c r="I100" s="185">
        <f t="shared" si="5"/>
        <v>0</v>
      </c>
    </row>
    <row r="101" spans="1:9" s="20" customFormat="1" ht="25.5">
      <c r="A101" s="77" t="s">
        <v>35</v>
      </c>
      <c r="B101" s="27" t="s">
        <v>290</v>
      </c>
      <c r="C101" s="27" t="s">
        <v>293</v>
      </c>
      <c r="D101" s="27" t="s">
        <v>299</v>
      </c>
      <c r="E101" s="71" t="s">
        <v>121</v>
      </c>
      <c r="F101" s="71" t="s">
        <v>36</v>
      </c>
      <c r="G101" s="69">
        <f>800+4500-331.7294</f>
        <v>4968.2706</v>
      </c>
      <c r="H101" s="175">
        <v>0</v>
      </c>
      <c r="I101" s="185">
        <f t="shared" si="5"/>
        <v>0</v>
      </c>
    </row>
    <row r="102" spans="1:9" s="20" customFormat="1" ht="25.5">
      <c r="A102" s="77" t="s">
        <v>122</v>
      </c>
      <c r="B102" s="27" t="s">
        <v>290</v>
      </c>
      <c r="C102" s="27" t="s">
        <v>293</v>
      </c>
      <c r="D102" s="27" t="s">
        <v>299</v>
      </c>
      <c r="E102" s="71" t="s">
        <v>124</v>
      </c>
      <c r="F102" s="71"/>
      <c r="G102" s="69">
        <f aca="true" t="shared" si="6" ref="G102:H104">G103</f>
        <v>7029.6900000000005</v>
      </c>
      <c r="H102" s="175">
        <f t="shared" si="6"/>
        <v>6864.51465</v>
      </c>
      <c r="I102" s="185">
        <f t="shared" si="5"/>
        <v>0.97650318150587</v>
      </c>
    </row>
    <row r="103" spans="1:9" s="20" customFormat="1" ht="12.75">
      <c r="A103" s="77" t="s">
        <v>125</v>
      </c>
      <c r="B103" s="27" t="s">
        <v>290</v>
      </c>
      <c r="C103" s="27" t="s">
        <v>293</v>
      </c>
      <c r="D103" s="27" t="s">
        <v>299</v>
      </c>
      <c r="E103" s="71" t="s">
        <v>126</v>
      </c>
      <c r="F103" s="71"/>
      <c r="G103" s="69">
        <f t="shared" si="6"/>
        <v>7029.6900000000005</v>
      </c>
      <c r="H103" s="175">
        <f t="shared" si="6"/>
        <v>6864.51465</v>
      </c>
      <c r="I103" s="185">
        <f t="shared" si="5"/>
        <v>0.97650318150587</v>
      </c>
    </row>
    <row r="104" spans="1:9" s="20" customFormat="1" ht="25.5">
      <c r="A104" s="77" t="s">
        <v>33</v>
      </c>
      <c r="B104" s="27" t="s">
        <v>290</v>
      </c>
      <c r="C104" s="27" t="s">
        <v>293</v>
      </c>
      <c r="D104" s="27" t="s">
        <v>299</v>
      </c>
      <c r="E104" s="71" t="s">
        <v>126</v>
      </c>
      <c r="F104" s="71" t="s">
        <v>34</v>
      </c>
      <c r="G104" s="69">
        <f t="shared" si="6"/>
        <v>7029.6900000000005</v>
      </c>
      <c r="H104" s="175">
        <f t="shared" si="6"/>
        <v>6864.51465</v>
      </c>
      <c r="I104" s="185">
        <f t="shared" si="5"/>
        <v>0.97650318150587</v>
      </c>
    </row>
    <row r="105" spans="1:9" s="20" customFormat="1" ht="25.5">
      <c r="A105" s="77" t="s">
        <v>35</v>
      </c>
      <c r="B105" s="27" t="s">
        <v>290</v>
      </c>
      <c r="C105" s="27" t="s">
        <v>293</v>
      </c>
      <c r="D105" s="27" t="s">
        <v>299</v>
      </c>
      <c r="E105" s="71" t="s">
        <v>126</v>
      </c>
      <c r="F105" s="71" t="s">
        <v>36</v>
      </c>
      <c r="G105" s="69">
        <f>2759.13+2962.46+1308.1</f>
        <v>7029.6900000000005</v>
      </c>
      <c r="H105" s="175">
        <v>6864.51465</v>
      </c>
      <c r="I105" s="185">
        <f t="shared" si="5"/>
        <v>0.97650318150587</v>
      </c>
    </row>
    <row r="106" spans="1:9" s="20" customFormat="1" ht="13.5">
      <c r="A106" s="72" t="s">
        <v>127</v>
      </c>
      <c r="B106" s="27" t="s">
        <v>290</v>
      </c>
      <c r="C106" s="27" t="s">
        <v>293</v>
      </c>
      <c r="D106" s="27" t="s">
        <v>302</v>
      </c>
      <c r="E106" s="62"/>
      <c r="F106" s="71"/>
      <c r="G106" s="69">
        <f>G108</f>
        <v>225</v>
      </c>
      <c r="H106" s="175">
        <f>H108</f>
        <v>217.107</v>
      </c>
      <c r="I106" s="185">
        <f t="shared" si="5"/>
        <v>0.96492</v>
      </c>
    </row>
    <row r="107" spans="1:9" s="20" customFormat="1" ht="63.75">
      <c r="A107" s="77" t="s">
        <v>114</v>
      </c>
      <c r="B107" s="27" t="s">
        <v>290</v>
      </c>
      <c r="C107" s="27" t="s">
        <v>293</v>
      </c>
      <c r="D107" s="27" t="s">
        <v>302</v>
      </c>
      <c r="E107" s="71" t="s">
        <v>115</v>
      </c>
      <c r="F107" s="71"/>
      <c r="G107" s="69">
        <f aca="true" t="shared" si="7" ref="G107:H112">G108</f>
        <v>225</v>
      </c>
      <c r="H107" s="175">
        <f t="shared" si="7"/>
        <v>217.107</v>
      </c>
      <c r="I107" s="185">
        <f t="shared" si="5"/>
        <v>0.96492</v>
      </c>
    </row>
    <row r="108" spans="1:9" s="20" customFormat="1" ht="25.5">
      <c r="A108" s="77" t="s">
        <v>129</v>
      </c>
      <c r="B108" s="27" t="s">
        <v>290</v>
      </c>
      <c r="C108" s="27" t="s">
        <v>293</v>
      </c>
      <c r="D108" s="27" t="s">
        <v>302</v>
      </c>
      <c r="E108" s="71" t="s">
        <v>130</v>
      </c>
      <c r="F108" s="71"/>
      <c r="G108" s="69">
        <f t="shared" si="7"/>
        <v>225</v>
      </c>
      <c r="H108" s="175">
        <f t="shared" si="7"/>
        <v>217.107</v>
      </c>
      <c r="I108" s="185">
        <f t="shared" si="5"/>
        <v>0.96492</v>
      </c>
    </row>
    <row r="109" spans="1:9" s="20" customFormat="1" ht="38.25">
      <c r="A109" s="83" t="s">
        <v>131</v>
      </c>
      <c r="B109" s="27" t="s">
        <v>290</v>
      </c>
      <c r="C109" s="27" t="s">
        <v>293</v>
      </c>
      <c r="D109" s="27" t="s">
        <v>302</v>
      </c>
      <c r="E109" s="71" t="s">
        <v>130</v>
      </c>
      <c r="F109" s="71"/>
      <c r="G109" s="69">
        <f t="shared" si="7"/>
        <v>225</v>
      </c>
      <c r="H109" s="175">
        <f t="shared" si="7"/>
        <v>217.107</v>
      </c>
      <c r="I109" s="185">
        <f t="shared" si="5"/>
        <v>0.96492</v>
      </c>
    </row>
    <row r="110" spans="1:9" s="20" customFormat="1" ht="25.5">
      <c r="A110" s="77" t="s">
        <v>133</v>
      </c>
      <c r="B110" s="27" t="s">
        <v>290</v>
      </c>
      <c r="C110" s="27" t="s">
        <v>293</v>
      </c>
      <c r="D110" s="27" t="s">
        <v>302</v>
      </c>
      <c r="E110" s="196" t="s">
        <v>134</v>
      </c>
      <c r="F110" s="71"/>
      <c r="G110" s="69">
        <f t="shared" si="7"/>
        <v>225</v>
      </c>
      <c r="H110" s="175">
        <f t="shared" si="7"/>
        <v>217.107</v>
      </c>
      <c r="I110" s="185">
        <f t="shared" si="5"/>
        <v>0.96492</v>
      </c>
    </row>
    <row r="111" spans="1:9" s="20" customFormat="1" ht="38.25">
      <c r="A111" s="77" t="s">
        <v>135</v>
      </c>
      <c r="B111" s="27" t="s">
        <v>290</v>
      </c>
      <c r="C111" s="27" t="s">
        <v>293</v>
      </c>
      <c r="D111" s="27" t="s">
        <v>302</v>
      </c>
      <c r="E111" s="71" t="s">
        <v>136</v>
      </c>
      <c r="F111" s="71"/>
      <c r="G111" s="69">
        <f t="shared" si="7"/>
        <v>225</v>
      </c>
      <c r="H111" s="175">
        <f t="shared" si="7"/>
        <v>217.107</v>
      </c>
      <c r="I111" s="185">
        <f t="shared" si="5"/>
        <v>0.96492</v>
      </c>
    </row>
    <row r="112" spans="1:9" s="20" customFormat="1" ht="25.5">
      <c r="A112" s="28" t="s">
        <v>33</v>
      </c>
      <c r="B112" s="27" t="s">
        <v>290</v>
      </c>
      <c r="C112" s="27" t="s">
        <v>293</v>
      </c>
      <c r="D112" s="27" t="s">
        <v>302</v>
      </c>
      <c r="E112" s="71" t="s">
        <v>136</v>
      </c>
      <c r="F112" s="71" t="s">
        <v>34</v>
      </c>
      <c r="G112" s="69">
        <f t="shared" si="7"/>
        <v>225</v>
      </c>
      <c r="H112" s="175">
        <f t="shared" si="7"/>
        <v>217.107</v>
      </c>
      <c r="I112" s="185">
        <f t="shared" si="5"/>
        <v>0.96492</v>
      </c>
    </row>
    <row r="113" spans="1:9" s="20" customFormat="1" ht="25.5">
      <c r="A113" s="28" t="s">
        <v>35</v>
      </c>
      <c r="B113" s="27" t="s">
        <v>290</v>
      </c>
      <c r="C113" s="27" t="s">
        <v>293</v>
      </c>
      <c r="D113" s="27" t="s">
        <v>302</v>
      </c>
      <c r="E113" s="71" t="s">
        <v>136</v>
      </c>
      <c r="F113" s="71" t="s">
        <v>36</v>
      </c>
      <c r="G113" s="69">
        <v>225</v>
      </c>
      <c r="H113" s="175">
        <v>217.107</v>
      </c>
      <c r="I113" s="185">
        <f t="shared" si="5"/>
        <v>0.96492</v>
      </c>
    </row>
    <row r="114" spans="1:9" s="20" customFormat="1" ht="27">
      <c r="A114" s="72" t="s">
        <v>137</v>
      </c>
      <c r="B114" s="27" t="s">
        <v>290</v>
      </c>
      <c r="C114" s="27" t="s">
        <v>293</v>
      </c>
      <c r="D114" s="27" t="s">
        <v>303</v>
      </c>
      <c r="E114" s="62"/>
      <c r="F114" s="27"/>
      <c r="G114" s="100">
        <f aca="true" t="shared" si="8" ref="G114:H117">G115</f>
        <v>200</v>
      </c>
      <c r="H114" s="173">
        <f t="shared" si="8"/>
        <v>77</v>
      </c>
      <c r="I114" s="185">
        <f t="shared" si="5"/>
        <v>0.385</v>
      </c>
    </row>
    <row r="115" spans="1:9" s="20" customFormat="1" ht="38.25">
      <c r="A115" s="28" t="s">
        <v>68</v>
      </c>
      <c r="B115" s="27" t="s">
        <v>290</v>
      </c>
      <c r="C115" s="27" t="s">
        <v>293</v>
      </c>
      <c r="D115" s="27" t="s">
        <v>303</v>
      </c>
      <c r="E115" s="71" t="s">
        <v>139</v>
      </c>
      <c r="F115" s="27"/>
      <c r="G115" s="76">
        <f t="shared" si="8"/>
        <v>200</v>
      </c>
      <c r="H115" s="174">
        <f t="shared" si="8"/>
        <v>77</v>
      </c>
      <c r="I115" s="185">
        <f t="shared" si="5"/>
        <v>0.385</v>
      </c>
    </row>
    <row r="116" spans="1:9" s="20" customFormat="1" ht="25.5">
      <c r="A116" s="67" t="s">
        <v>140</v>
      </c>
      <c r="B116" s="27" t="s">
        <v>290</v>
      </c>
      <c r="C116" s="27" t="s">
        <v>293</v>
      </c>
      <c r="D116" s="27" t="s">
        <v>303</v>
      </c>
      <c r="E116" s="71" t="s">
        <v>141</v>
      </c>
      <c r="F116" s="27"/>
      <c r="G116" s="76">
        <f t="shared" si="8"/>
        <v>200</v>
      </c>
      <c r="H116" s="174">
        <f t="shared" si="8"/>
        <v>77</v>
      </c>
      <c r="I116" s="185">
        <f t="shared" si="5"/>
        <v>0.385</v>
      </c>
    </row>
    <row r="117" spans="1:9" s="20" customFormat="1" ht="25.5">
      <c r="A117" s="28" t="s">
        <v>33</v>
      </c>
      <c r="B117" s="27" t="s">
        <v>290</v>
      </c>
      <c r="C117" s="27" t="s">
        <v>293</v>
      </c>
      <c r="D117" s="27" t="s">
        <v>303</v>
      </c>
      <c r="E117" s="71" t="s">
        <v>141</v>
      </c>
      <c r="F117" s="27" t="s">
        <v>34</v>
      </c>
      <c r="G117" s="76">
        <f t="shared" si="8"/>
        <v>200</v>
      </c>
      <c r="H117" s="174">
        <f t="shared" si="8"/>
        <v>77</v>
      </c>
      <c r="I117" s="185">
        <f t="shared" si="5"/>
        <v>0.385</v>
      </c>
    </row>
    <row r="118" spans="1:9" s="20" customFormat="1" ht="25.5">
      <c r="A118" s="28" t="s">
        <v>35</v>
      </c>
      <c r="B118" s="27" t="s">
        <v>290</v>
      </c>
      <c r="C118" s="27" t="s">
        <v>293</v>
      </c>
      <c r="D118" s="27" t="s">
        <v>303</v>
      </c>
      <c r="E118" s="71" t="s">
        <v>141</v>
      </c>
      <c r="F118" s="27" t="s">
        <v>36</v>
      </c>
      <c r="G118" s="76">
        <v>200</v>
      </c>
      <c r="H118" s="174">
        <v>77</v>
      </c>
      <c r="I118" s="185">
        <f t="shared" si="5"/>
        <v>0.385</v>
      </c>
    </row>
    <row r="119" spans="1:10" s="66" customFormat="1" ht="13.5">
      <c r="A119" s="72" t="s">
        <v>142</v>
      </c>
      <c r="B119" s="27" t="s">
        <v>290</v>
      </c>
      <c r="C119" s="27" t="s">
        <v>304</v>
      </c>
      <c r="D119" s="27"/>
      <c r="E119" s="62"/>
      <c r="F119" s="111"/>
      <c r="G119" s="93">
        <f>G120+G151+G165</f>
        <v>185308.58214</v>
      </c>
      <c r="H119" s="177">
        <f>H120+H151+H165</f>
        <v>114100.89843999999</v>
      </c>
      <c r="I119" s="185">
        <f t="shared" si="5"/>
        <v>0.6157345608191915</v>
      </c>
      <c r="J119" s="115"/>
    </row>
    <row r="120" spans="1:9" s="66" customFormat="1" ht="13.5">
      <c r="A120" s="81" t="s">
        <v>144</v>
      </c>
      <c r="B120" s="27" t="s">
        <v>290</v>
      </c>
      <c r="C120" s="27" t="s">
        <v>304</v>
      </c>
      <c r="D120" s="27" t="s">
        <v>291</v>
      </c>
      <c r="E120" s="62"/>
      <c r="F120" s="111"/>
      <c r="G120" s="93">
        <f>G121+G131+G147</f>
        <v>64858.28749</v>
      </c>
      <c r="H120" s="177">
        <f>H121+H131+H147</f>
        <v>42768.60696</v>
      </c>
      <c r="I120" s="185">
        <f t="shared" si="5"/>
        <v>0.6594162228935533</v>
      </c>
    </row>
    <row r="121" spans="1:9" s="66" customFormat="1" ht="51">
      <c r="A121" s="28" t="s">
        <v>146</v>
      </c>
      <c r="B121" s="27" t="s">
        <v>290</v>
      </c>
      <c r="C121" s="27" t="s">
        <v>304</v>
      </c>
      <c r="D121" s="27" t="s">
        <v>291</v>
      </c>
      <c r="E121" s="71" t="s">
        <v>147</v>
      </c>
      <c r="F121" s="111"/>
      <c r="G121" s="76">
        <f>G128+G125</f>
        <v>50005.1</v>
      </c>
      <c r="H121" s="174">
        <f>H128+H125</f>
        <v>33628.58818</v>
      </c>
      <c r="I121" s="185">
        <f t="shared" si="5"/>
        <v>0.6725031682768358</v>
      </c>
    </row>
    <row r="122" spans="1:9" s="66" customFormat="1" ht="38.25" hidden="1">
      <c r="A122" s="77" t="s">
        <v>148</v>
      </c>
      <c r="B122" s="27" t="s">
        <v>290</v>
      </c>
      <c r="C122" s="27" t="s">
        <v>304</v>
      </c>
      <c r="D122" s="27" t="s">
        <v>291</v>
      </c>
      <c r="E122" s="71" t="s">
        <v>149</v>
      </c>
      <c r="F122" s="71"/>
      <c r="G122" s="76">
        <f>G123</f>
        <v>0</v>
      </c>
      <c r="H122" s="174">
        <f>H123</f>
        <v>0</v>
      </c>
      <c r="I122" s="185" t="e">
        <f t="shared" si="5"/>
        <v>#DIV/0!</v>
      </c>
    </row>
    <row r="123" spans="1:9" s="66" customFormat="1" ht="25.5" hidden="1">
      <c r="A123" s="28" t="s">
        <v>33</v>
      </c>
      <c r="B123" s="27" t="s">
        <v>290</v>
      </c>
      <c r="C123" s="27" t="s">
        <v>304</v>
      </c>
      <c r="D123" s="27" t="s">
        <v>291</v>
      </c>
      <c r="E123" s="71" t="s">
        <v>149</v>
      </c>
      <c r="F123" s="71" t="s">
        <v>36</v>
      </c>
      <c r="G123" s="76">
        <f>G124</f>
        <v>0</v>
      </c>
      <c r="H123" s="174">
        <f>H124</f>
        <v>0</v>
      </c>
      <c r="I123" s="185" t="e">
        <f t="shared" si="5"/>
        <v>#DIV/0!</v>
      </c>
    </row>
    <row r="124" spans="1:9" s="66" customFormat="1" ht="25.5" hidden="1">
      <c r="A124" s="28" t="s">
        <v>35</v>
      </c>
      <c r="B124" s="27" t="s">
        <v>290</v>
      </c>
      <c r="C124" s="27" t="s">
        <v>304</v>
      </c>
      <c r="D124" s="27" t="s">
        <v>291</v>
      </c>
      <c r="E124" s="71" t="s">
        <v>149</v>
      </c>
      <c r="F124" s="71" t="s">
        <v>36</v>
      </c>
      <c r="G124" s="76">
        <v>0</v>
      </c>
      <c r="H124" s="174">
        <v>0</v>
      </c>
      <c r="I124" s="185" t="e">
        <f t="shared" si="5"/>
        <v>#DIV/0!</v>
      </c>
    </row>
    <row r="125" spans="1:9" s="66" customFormat="1" ht="89.25">
      <c r="A125" s="77" t="s">
        <v>150</v>
      </c>
      <c r="B125" s="27" t="s">
        <v>290</v>
      </c>
      <c r="C125" s="27" t="s">
        <v>304</v>
      </c>
      <c r="D125" s="27" t="s">
        <v>291</v>
      </c>
      <c r="E125" s="71" t="s">
        <v>149</v>
      </c>
      <c r="F125" s="71"/>
      <c r="G125" s="76">
        <f>G126</f>
        <v>48005.1</v>
      </c>
      <c r="H125" s="174">
        <f>H126</f>
        <v>32980.05526</v>
      </c>
      <c r="I125" s="185">
        <f t="shared" si="5"/>
        <v>0.6870114896125621</v>
      </c>
    </row>
    <row r="126" spans="1:9" s="66" customFormat="1" ht="25.5">
      <c r="A126" s="28" t="s">
        <v>33</v>
      </c>
      <c r="B126" s="27" t="s">
        <v>290</v>
      </c>
      <c r="C126" s="27" t="s">
        <v>304</v>
      </c>
      <c r="D126" s="27" t="s">
        <v>291</v>
      </c>
      <c r="E126" s="71" t="s">
        <v>149</v>
      </c>
      <c r="F126" s="71" t="s">
        <v>36</v>
      </c>
      <c r="G126" s="76">
        <f>G127</f>
        <v>48005.1</v>
      </c>
      <c r="H126" s="174">
        <f>H127</f>
        <v>32980.05526</v>
      </c>
      <c r="I126" s="185">
        <f t="shared" si="5"/>
        <v>0.6870114896125621</v>
      </c>
    </row>
    <row r="127" spans="1:9" s="66" customFormat="1" ht="25.5">
      <c r="A127" s="28" t="s">
        <v>35</v>
      </c>
      <c r="B127" s="27" t="s">
        <v>290</v>
      </c>
      <c r="C127" s="27" t="s">
        <v>304</v>
      </c>
      <c r="D127" s="27" t="s">
        <v>291</v>
      </c>
      <c r="E127" s="71" t="s">
        <v>149</v>
      </c>
      <c r="F127" s="71" t="s">
        <v>36</v>
      </c>
      <c r="G127" s="76">
        <v>48005.1</v>
      </c>
      <c r="H127" s="174">
        <v>32980.05526</v>
      </c>
      <c r="I127" s="185">
        <f t="shared" si="5"/>
        <v>0.6870114896125621</v>
      </c>
    </row>
    <row r="128" spans="1:9" s="66" customFormat="1" ht="89.25">
      <c r="A128" s="77" t="s">
        <v>305</v>
      </c>
      <c r="B128" s="27" t="s">
        <v>290</v>
      </c>
      <c r="C128" s="27" t="s">
        <v>304</v>
      </c>
      <c r="D128" s="27" t="s">
        <v>291</v>
      </c>
      <c r="E128" s="71" t="s">
        <v>152</v>
      </c>
      <c r="F128" s="71"/>
      <c r="G128" s="76">
        <f>G129</f>
        <v>2000</v>
      </c>
      <c r="H128" s="174">
        <f>H129</f>
        <v>648.53292</v>
      </c>
      <c r="I128" s="185">
        <f t="shared" si="5"/>
        <v>0.32426646</v>
      </c>
    </row>
    <row r="129" spans="1:9" s="66" customFormat="1" ht="25.5">
      <c r="A129" s="28" t="s">
        <v>33</v>
      </c>
      <c r="B129" s="27" t="s">
        <v>290</v>
      </c>
      <c r="C129" s="27" t="s">
        <v>304</v>
      </c>
      <c r="D129" s="27" t="s">
        <v>291</v>
      </c>
      <c r="E129" s="71" t="s">
        <v>152</v>
      </c>
      <c r="F129" s="71" t="s">
        <v>36</v>
      </c>
      <c r="G129" s="76">
        <f>G130</f>
        <v>2000</v>
      </c>
      <c r="H129" s="174">
        <f>H130</f>
        <v>648.53292</v>
      </c>
      <c r="I129" s="185">
        <f t="shared" si="5"/>
        <v>0.32426646</v>
      </c>
    </row>
    <row r="130" spans="1:9" s="66" customFormat="1" ht="25.5">
      <c r="A130" s="28" t="s">
        <v>35</v>
      </c>
      <c r="B130" s="27" t="s">
        <v>290</v>
      </c>
      <c r="C130" s="27" t="s">
        <v>304</v>
      </c>
      <c r="D130" s="27" t="s">
        <v>291</v>
      </c>
      <c r="E130" s="71" t="s">
        <v>152</v>
      </c>
      <c r="F130" s="71" t="s">
        <v>36</v>
      </c>
      <c r="G130" s="76">
        <f>7000-5000</f>
        <v>2000</v>
      </c>
      <c r="H130" s="174">
        <v>648.53292</v>
      </c>
      <c r="I130" s="185">
        <f t="shared" si="5"/>
        <v>0.32426646</v>
      </c>
    </row>
    <row r="131" spans="1:9" s="66" customFormat="1" ht="63.75">
      <c r="A131" s="77" t="s">
        <v>114</v>
      </c>
      <c r="B131" s="27" t="s">
        <v>290</v>
      </c>
      <c r="C131" s="27" t="s">
        <v>304</v>
      </c>
      <c r="D131" s="27" t="s">
        <v>291</v>
      </c>
      <c r="E131" s="71" t="s">
        <v>115</v>
      </c>
      <c r="F131" s="71"/>
      <c r="G131" s="69">
        <f>G132</f>
        <v>14723.18749</v>
      </c>
      <c r="H131" s="175">
        <f>H132</f>
        <v>9118.51878</v>
      </c>
      <c r="I131" s="185">
        <f t="shared" si="5"/>
        <v>0.6193304803184301</v>
      </c>
    </row>
    <row r="132" spans="1:9" s="66" customFormat="1" ht="38.25">
      <c r="A132" s="77" t="s">
        <v>158</v>
      </c>
      <c r="B132" s="27" t="s">
        <v>290</v>
      </c>
      <c r="C132" s="27" t="s">
        <v>304</v>
      </c>
      <c r="D132" s="27" t="s">
        <v>291</v>
      </c>
      <c r="E132" s="71" t="s">
        <v>159</v>
      </c>
      <c r="F132" s="71"/>
      <c r="G132" s="69">
        <f>G133+G137+G144</f>
        <v>14723.18749</v>
      </c>
      <c r="H132" s="175">
        <f>H133+H137+H144</f>
        <v>9118.51878</v>
      </c>
      <c r="I132" s="185">
        <f t="shared" si="5"/>
        <v>0.6193304803184301</v>
      </c>
    </row>
    <row r="133" spans="1:9" s="66" customFormat="1" ht="38.25">
      <c r="A133" s="83" t="s">
        <v>160</v>
      </c>
      <c r="B133" s="27" t="s">
        <v>290</v>
      </c>
      <c r="C133" s="27" t="s">
        <v>304</v>
      </c>
      <c r="D133" s="27" t="s">
        <v>291</v>
      </c>
      <c r="E133" s="71" t="s">
        <v>161</v>
      </c>
      <c r="F133" s="71"/>
      <c r="G133" s="69">
        <f aca="true" t="shared" si="9" ref="G133:H135">G134</f>
        <v>64.48</v>
      </c>
      <c r="H133" s="175">
        <f t="shared" si="9"/>
        <v>0</v>
      </c>
      <c r="I133" s="185">
        <f t="shared" si="5"/>
        <v>0</v>
      </c>
    </row>
    <row r="134" spans="1:9" s="66" customFormat="1" ht="51">
      <c r="A134" s="84" t="s">
        <v>508</v>
      </c>
      <c r="B134" s="27" t="s">
        <v>290</v>
      </c>
      <c r="C134" s="27" t="s">
        <v>304</v>
      </c>
      <c r="D134" s="27" t="s">
        <v>291</v>
      </c>
      <c r="E134" s="71" t="s">
        <v>163</v>
      </c>
      <c r="F134" s="71"/>
      <c r="G134" s="69">
        <f t="shared" si="9"/>
        <v>64.48</v>
      </c>
      <c r="H134" s="175">
        <f t="shared" si="9"/>
        <v>0</v>
      </c>
      <c r="I134" s="185">
        <f t="shared" si="5"/>
        <v>0</v>
      </c>
    </row>
    <row r="135" spans="1:9" s="66" customFormat="1" ht="25.5">
      <c r="A135" s="77" t="s">
        <v>33</v>
      </c>
      <c r="B135" s="27" t="s">
        <v>290</v>
      </c>
      <c r="C135" s="27" t="s">
        <v>304</v>
      </c>
      <c r="D135" s="27" t="s">
        <v>291</v>
      </c>
      <c r="E135" s="71" t="s">
        <v>163</v>
      </c>
      <c r="F135" s="71" t="s">
        <v>38</v>
      </c>
      <c r="G135" s="69">
        <f t="shared" si="9"/>
        <v>64.48</v>
      </c>
      <c r="H135" s="175">
        <f t="shared" si="9"/>
        <v>0</v>
      </c>
      <c r="I135" s="185">
        <f t="shared" si="5"/>
        <v>0</v>
      </c>
    </row>
    <row r="136" spans="1:9" s="66" customFormat="1" ht="25.5">
      <c r="A136" s="77" t="s">
        <v>35</v>
      </c>
      <c r="B136" s="27" t="s">
        <v>290</v>
      </c>
      <c r="C136" s="27" t="s">
        <v>304</v>
      </c>
      <c r="D136" s="27" t="s">
        <v>291</v>
      </c>
      <c r="E136" s="71" t="s">
        <v>163</v>
      </c>
      <c r="F136" s="71" t="s">
        <v>164</v>
      </c>
      <c r="G136" s="69">
        <v>64.48</v>
      </c>
      <c r="H136" s="175">
        <v>0</v>
      </c>
      <c r="I136" s="185">
        <f t="shared" si="5"/>
        <v>0</v>
      </c>
    </row>
    <row r="137" spans="1:9" s="66" customFormat="1" ht="51">
      <c r="A137" s="83" t="s">
        <v>165</v>
      </c>
      <c r="B137" s="27" t="s">
        <v>290</v>
      </c>
      <c r="C137" s="27" t="s">
        <v>304</v>
      </c>
      <c r="D137" s="27" t="s">
        <v>291</v>
      </c>
      <c r="E137" s="71" t="s">
        <v>166</v>
      </c>
      <c r="F137" s="71"/>
      <c r="G137" s="69">
        <f>G138+G141</f>
        <v>12108.70749</v>
      </c>
      <c r="H137" s="175">
        <f>H138+H141</f>
        <v>7073.34974</v>
      </c>
      <c r="I137" s="185">
        <f t="shared" si="5"/>
        <v>0.5841539855382203</v>
      </c>
    </row>
    <row r="138" spans="1:9" s="66" customFormat="1" ht="38.25">
      <c r="A138" s="28" t="s">
        <v>167</v>
      </c>
      <c r="B138" s="27" t="s">
        <v>290</v>
      </c>
      <c r="C138" s="27" t="s">
        <v>304</v>
      </c>
      <c r="D138" s="27" t="s">
        <v>291</v>
      </c>
      <c r="E138" s="71" t="s">
        <v>168</v>
      </c>
      <c r="F138" s="71"/>
      <c r="G138" s="69">
        <f>G139</f>
        <v>4500</v>
      </c>
      <c r="H138" s="175">
        <f>H139</f>
        <v>3996.61974</v>
      </c>
      <c r="I138" s="185">
        <f t="shared" si="5"/>
        <v>0.88813772</v>
      </c>
    </row>
    <row r="139" spans="1:9" s="66" customFormat="1" ht="25.5">
      <c r="A139" s="28" t="s">
        <v>33</v>
      </c>
      <c r="B139" s="27" t="s">
        <v>290</v>
      </c>
      <c r="C139" s="27" t="s">
        <v>304</v>
      </c>
      <c r="D139" s="27" t="s">
        <v>291</v>
      </c>
      <c r="E139" s="71" t="s">
        <v>168</v>
      </c>
      <c r="F139" s="71" t="s">
        <v>34</v>
      </c>
      <c r="G139" s="69">
        <f>G140</f>
        <v>4500</v>
      </c>
      <c r="H139" s="175">
        <f>H140</f>
        <v>3996.61974</v>
      </c>
      <c r="I139" s="185">
        <f aca="true" t="shared" si="10" ref="I139:I202">H139/G139</f>
        <v>0.88813772</v>
      </c>
    </row>
    <row r="140" spans="1:9" s="66" customFormat="1" ht="25.5">
      <c r="A140" s="28" t="s">
        <v>35</v>
      </c>
      <c r="B140" s="27" t="s">
        <v>290</v>
      </c>
      <c r="C140" s="27" t="s">
        <v>304</v>
      </c>
      <c r="D140" s="27" t="s">
        <v>291</v>
      </c>
      <c r="E140" s="71" t="s">
        <v>168</v>
      </c>
      <c r="F140" s="71" t="s">
        <v>36</v>
      </c>
      <c r="G140" s="69">
        <v>4500</v>
      </c>
      <c r="H140" s="175">
        <v>3996.61974</v>
      </c>
      <c r="I140" s="185">
        <f t="shared" si="10"/>
        <v>0.88813772</v>
      </c>
    </row>
    <row r="141" spans="1:9" s="66" customFormat="1" ht="25.5">
      <c r="A141" s="28" t="s">
        <v>169</v>
      </c>
      <c r="B141" s="27" t="s">
        <v>290</v>
      </c>
      <c r="C141" s="27" t="s">
        <v>304</v>
      </c>
      <c r="D141" s="27" t="s">
        <v>291</v>
      </c>
      <c r="E141" s="71" t="s">
        <v>168</v>
      </c>
      <c r="F141" s="71"/>
      <c r="G141" s="69">
        <f>G142</f>
        <v>7608.707490000001</v>
      </c>
      <c r="H141" s="175">
        <f>H142</f>
        <v>3076.73</v>
      </c>
      <c r="I141" s="185">
        <f t="shared" si="10"/>
        <v>0.4043695994416523</v>
      </c>
    </row>
    <row r="142" spans="1:9" s="66" customFormat="1" ht="25.5">
      <c r="A142" s="28" t="s">
        <v>33</v>
      </c>
      <c r="B142" s="27" t="s">
        <v>290</v>
      </c>
      <c r="C142" s="27" t="s">
        <v>304</v>
      </c>
      <c r="D142" s="27" t="s">
        <v>291</v>
      </c>
      <c r="E142" s="71" t="s">
        <v>168</v>
      </c>
      <c r="F142" s="71" t="s">
        <v>34</v>
      </c>
      <c r="G142" s="69">
        <f>G143</f>
        <v>7608.707490000001</v>
      </c>
      <c r="H142" s="175">
        <f>H143</f>
        <v>3076.73</v>
      </c>
      <c r="I142" s="185">
        <f t="shared" si="10"/>
        <v>0.4043695994416523</v>
      </c>
    </row>
    <row r="143" spans="1:9" s="66" customFormat="1" ht="25.5">
      <c r="A143" s="28" t="s">
        <v>35</v>
      </c>
      <c r="B143" s="27" t="s">
        <v>290</v>
      </c>
      <c r="C143" s="27" t="s">
        <v>304</v>
      </c>
      <c r="D143" s="27" t="s">
        <v>291</v>
      </c>
      <c r="E143" s="71" t="s">
        <v>168</v>
      </c>
      <c r="F143" s="71" t="s">
        <v>36</v>
      </c>
      <c r="G143" s="69">
        <f>700+2000+42.08385+776.9306+135+3954.69304</f>
        <v>7608.707490000001</v>
      </c>
      <c r="H143" s="175">
        <v>3076.73</v>
      </c>
      <c r="I143" s="185">
        <f t="shared" si="10"/>
        <v>0.4043695994416523</v>
      </c>
    </row>
    <row r="144" spans="1:9" s="94" customFormat="1" ht="38.25">
      <c r="A144" s="85" t="s">
        <v>170</v>
      </c>
      <c r="B144" s="27" t="s">
        <v>290</v>
      </c>
      <c r="C144" s="27" t="s">
        <v>304</v>
      </c>
      <c r="D144" s="27" t="s">
        <v>291</v>
      </c>
      <c r="E144" s="71" t="s">
        <v>171</v>
      </c>
      <c r="F144" s="71"/>
      <c r="G144" s="69">
        <f>G145</f>
        <v>2550</v>
      </c>
      <c r="H144" s="175">
        <f>H145</f>
        <v>2045.16904</v>
      </c>
      <c r="I144" s="185">
        <f t="shared" si="10"/>
        <v>0.8020270745098039</v>
      </c>
    </row>
    <row r="145" spans="1:9" s="94" customFormat="1" ht="25.5">
      <c r="A145" s="77" t="s">
        <v>33</v>
      </c>
      <c r="B145" s="27" t="s">
        <v>290</v>
      </c>
      <c r="C145" s="27" t="s">
        <v>304</v>
      </c>
      <c r="D145" s="27" t="s">
        <v>291</v>
      </c>
      <c r="E145" s="71" t="s">
        <v>171</v>
      </c>
      <c r="F145" s="71" t="s">
        <v>34</v>
      </c>
      <c r="G145" s="69">
        <f>G146</f>
        <v>2550</v>
      </c>
      <c r="H145" s="175">
        <f>H146</f>
        <v>2045.16904</v>
      </c>
      <c r="I145" s="185">
        <f t="shared" si="10"/>
        <v>0.8020270745098039</v>
      </c>
    </row>
    <row r="146" spans="1:9" s="94" customFormat="1" ht="25.5">
      <c r="A146" s="28" t="s">
        <v>35</v>
      </c>
      <c r="B146" s="27" t="s">
        <v>290</v>
      </c>
      <c r="C146" s="27" t="s">
        <v>304</v>
      </c>
      <c r="D146" s="27" t="s">
        <v>291</v>
      </c>
      <c r="E146" s="71" t="s">
        <v>171</v>
      </c>
      <c r="F146" s="71" t="s">
        <v>36</v>
      </c>
      <c r="G146" s="69">
        <f>1800+750</f>
        <v>2550</v>
      </c>
      <c r="H146" s="175">
        <v>2045.16904</v>
      </c>
      <c r="I146" s="185">
        <f t="shared" si="10"/>
        <v>0.8020270745098039</v>
      </c>
    </row>
    <row r="147" spans="1:9" s="94" customFormat="1" ht="38.25">
      <c r="A147" s="28" t="s">
        <v>307</v>
      </c>
      <c r="B147" s="27" t="s">
        <v>290</v>
      </c>
      <c r="C147" s="27" t="s">
        <v>304</v>
      </c>
      <c r="D147" s="27" t="s">
        <v>291</v>
      </c>
      <c r="E147" s="71" t="s">
        <v>73</v>
      </c>
      <c r="F147" s="71"/>
      <c r="G147" s="69">
        <f aca="true" t="shared" si="11" ref="G147:H149">G148</f>
        <v>130</v>
      </c>
      <c r="H147" s="175">
        <f t="shared" si="11"/>
        <v>21.5</v>
      </c>
      <c r="I147" s="185">
        <f t="shared" si="10"/>
        <v>0.16538461538461538</v>
      </c>
    </row>
    <row r="148" spans="1:9" s="94" customFormat="1" ht="38.25">
      <c r="A148" s="28" t="s">
        <v>172</v>
      </c>
      <c r="B148" s="27" t="s">
        <v>290</v>
      </c>
      <c r="C148" s="27" t="s">
        <v>304</v>
      </c>
      <c r="D148" s="27" t="s">
        <v>291</v>
      </c>
      <c r="E148" s="71" t="s">
        <v>173</v>
      </c>
      <c r="F148" s="71"/>
      <c r="G148" s="69">
        <f t="shared" si="11"/>
        <v>130</v>
      </c>
      <c r="H148" s="175">
        <f t="shared" si="11"/>
        <v>21.5</v>
      </c>
      <c r="I148" s="185">
        <f t="shared" si="10"/>
        <v>0.16538461538461538</v>
      </c>
    </row>
    <row r="149" spans="1:9" s="94" customFormat="1" ht="25.5">
      <c r="A149" s="77" t="s">
        <v>33</v>
      </c>
      <c r="B149" s="27" t="s">
        <v>290</v>
      </c>
      <c r="C149" s="27" t="s">
        <v>304</v>
      </c>
      <c r="D149" s="27" t="s">
        <v>291</v>
      </c>
      <c r="E149" s="71" t="s">
        <v>173</v>
      </c>
      <c r="F149" s="71" t="s">
        <v>34</v>
      </c>
      <c r="G149" s="69">
        <f t="shared" si="11"/>
        <v>130</v>
      </c>
      <c r="H149" s="175">
        <f t="shared" si="11"/>
        <v>21.5</v>
      </c>
      <c r="I149" s="185">
        <f t="shared" si="10"/>
        <v>0.16538461538461538</v>
      </c>
    </row>
    <row r="150" spans="1:9" s="94" customFormat="1" ht="25.5">
      <c r="A150" s="77" t="s">
        <v>35</v>
      </c>
      <c r="B150" s="27" t="s">
        <v>290</v>
      </c>
      <c r="C150" s="27" t="s">
        <v>304</v>
      </c>
      <c r="D150" s="27" t="s">
        <v>291</v>
      </c>
      <c r="E150" s="71" t="s">
        <v>173</v>
      </c>
      <c r="F150" s="71" t="s">
        <v>36</v>
      </c>
      <c r="G150" s="69">
        <f>150-20</f>
        <v>130</v>
      </c>
      <c r="H150" s="175">
        <v>21.5</v>
      </c>
      <c r="I150" s="185">
        <f t="shared" si="10"/>
        <v>0.16538461538461538</v>
      </c>
    </row>
    <row r="151" spans="1:9" s="20" customFormat="1" ht="13.5">
      <c r="A151" s="81" t="s">
        <v>174</v>
      </c>
      <c r="B151" s="27" t="s">
        <v>290</v>
      </c>
      <c r="C151" s="27" t="s">
        <v>304</v>
      </c>
      <c r="D151" s="27" t="s">
        <v>292</v>
      </c>
      <c r="E151" s="71"/>
      <c r="F151" s="27"/>
      <c r="G151" s="100">
        <f>G152</f>
        <v>48159.4</v>
      </c>
      <c r="H151" s="173">
        <f>H152</f>
        <v>21793.52379</v>
      </c>
      <c r="I151" s="185">
        <f t="shared" si="10"/>
        <v>0.45252897232938943</v>
      </c>
    </row>
    <row r="152" spans="1:9" s="20" customFormat="1" ht="36" customHeight="1">
      <c r="A152" s="28" t="s">
        <v>176</v>
      </c>
      <c r="B152" s="27" t="s">
        <v>290</v>
      </c>
      <c r="C152" s="27" t="s">
        <v>304</v>
      </c>
      <c r="D152" s="27" t="s">
        <v>292</v>
      </c>
      <c r="E152" s="68" t="s">
        <v>177</v>
      </c>
      <c r="F152" s="114"/>
      <c r="G152" s="76">
        <f>G153+G155+G158</f>
        <v>48159.4</v>
      </c>
      <c r="H152" s="174">
        <f>H153+H155+H158</f>
        <v>21793.52379</v>
      </c>
      <c r="I152" s="185">
        <f t="shared" si="10"/>
        <v>0.45252897232938943</v>
      </c>
    </row>
    <row r="153" spans="1:9" s="20" customFormat="1" ht="25.5">
      <c r="A153" s="77" t="s">
        <v>33</v>
      </c>
      <c r="B153" s="27" t="s">
        <v>290</v>
      </c>
      <c r="C153" s="27" t="s">
        <v>304</v>
      </c>
      <c r="D153" s="27" t="s">
        <v>292</v>
      </c>
      <c r="E153" s="68" t="s">
        <v>178</v>
      </c>
      <c r="F153" s="27" t="s">
        <v>34</v>
      </c>
      <c r="G153" s="76">
        <f>G154</f>
        <v>14559.4</v>
      </c>
      <c r="H153" s="174">
        <f>H154</f>
        <v>1693.52379</v>
      </c>
      <c r="I153" s="185">
        <f t="shared" si="10"/>
        <v>0.11631824044946908</v>
      </c>
    </row>
    <row r="154" spans="1:9" s="20" customFormat="1" ht="23.25" customHeight="1">
      <c r="A154" s="28" t="s">
        <v>35</v>
      </c>
      <c r="B154" s="27" t="s">
        <v>290</v>
      </c>
      <c r="C154" s="27" t="s">
        <v>304</v>
      </c>
      <c r="D154" s="27" t="s">
        <v>292</v>
      </c>
      <c r="E154" s="68" t="s">
        <v>178</v>
      </c>
      <c r="F154" s="27" t="s">
        <v>36</v>
      </c>
      <c r="G154" s="76">
        <f>3322-77+464.8+6628.2-550+1420.9+1676.2+1000+927.4+496.9-750</f>
        <v>14559.4</v>
      </c>
      <c r="H154" s="174">
        <v>1693.52379</v>
      </c>
      <c r="I154" s="185">
        <f t="shared" si="10"/>
        <v>0.11631824044946908</v>
      </c>
    </row>
    <row r="155" spans="1:9" s="20" customFormat="1" ht="90" customHeight="1">
      <c r="A155" s="28" t="s">
        <v>369</v>
      </c>
      <c r="B155" s="27" t="s">
        <v>290</v>
      </c>
      <c r="C155" s="27" t="s">
        <v>304</v>
      </c>
      <c r="D155" s="27" t="s">
        <v>292</v>
      </c>
      <c r="E155" s="68" t="s">
        <v>370</v>
      </c>
      <c r="F155" s="87"/>
      <c r="G155" s="69">
        <f>G156</f>
        <v>23500</v>
      </c>
      <c r="H155" s="175">
        <f>H156</f>
        <v>10000</v>
      </c>
      <c r="I155" s="185">
        <f t="shared" si="10"/>
        <v>0.425531914893617</v>
      </c>
    </row>
    <row r="156" spans="1:9" s="20" customFormat="1" ht="23.25" customHeight="1">
      <c r="A156" s="28" t="s">
        <v>37</v>
      </c>
      <c r="B156" s="27" t="s">
        <v>290</v>
      </c>
      <c r="C156" s="27" t="s">
        <v>304</v>
      </c>
      <c r="D156" s="27" t="s">
        <v>292</v>
      </c>
      <c r="E156" s="68" t="s">
        <v>370</v>
      </c>
      <c r="F156" s="87" t="s">
        <v>38</v>
      </c>
      <c r="G156" s="69">
        <f>G157</f>
        <v>23500</v>
      </c>
      <c r="H156" s="175">
        <f>H157</f>
        <v>10000</v>
      </c>
      <c r="I156" s="185">
        <f t="shared" si="10"/>
        <v>0.425531914893617</v>
      </c>
    </row>
    <row r="157" spans="1:9" s="20" customFormat="1" ht="63" customHeight="1">
      <c r="A157" s="28" t="s">
        <v>0</v>
      </c>
      <c r="B157" s="27" t="s">
        <v>290</v>
      </c>
      <c r="C157" s="27" t="s">
        <v>304</v>
      </c>
      <c r="D157" s="27" t="s">
        <v>292</v>
      </c>
      <c r="E157" s="68" t="s">
        <v>370</v>
      </c>
      <c r="F157" s="87" t="s">
        <v>1</v>
      </c>
      <c r="G157" s="69">
        <f>10000+13500</f>
        <v>23500</v>
      </c>
      <c r="H157" s="175">
        <v>10000</v>
      </c>
      <c r="I157" s="185">
        <f t="shared" si="10"/>
        <v>0.425531914893617</v>
      </c>
    </row>
    <row r="158" spans="1:9" s="20" customFormat="1" ht="60.75" customHeight="1">
      <c r="A158" s="89" t="s">
        <v>374</v>
      </c>
      <c r="B158" s="27" t="s">
        <v>290</v>
      </c>
      <c r="C158" s="27" t="s">
        <v>304</v>
      </c>
      <c r="D158" s="27" t="s">
        <v>292</v>
      </c>
      <c r="E158" s="68" t="s">
        <v>373</v>
      </c>
      <c r="F158" s="87"/>
      <c r="G158" s="69">
        <f>G159+G162</f>
        <v>10100</v>
      </c>
      <c r="H158" s="175">
        <f>H159+H162</f>
        <v>10100</v>
      </c>
      <c r="I158" s="185">
        <f t="shared" si="10"/>
        <v>1</v>
      </c>
    </row>
    <row r="159" spans="1:9" s="20" customFormat="1" ht="63" customHeight="1">
      <c r="A159" s="89" t="s">
        <v>375</v>
      </c>
      <c r="B159" s="27" t="s">
        <v>290</v>
      </c>
      <c r="C159" s="27" t="s">
        <v>304</v>
      </c>
      <c r="D159" s="27" t="s">
        <v>292</v>
      </c>
      <c r="E159" s="68" t="s">
        <v>373</v>
      </c>
      <c r="F159" s="87"/>
      <c r="G159" s="69">
        <f>G160</f>
        <v>6100</v>
      </c>
      <c r="H159" s="175">
        <f>H160</f>
        <v>6100</v>
      </c>
      <c r="I159" s="185">
        <f t="shared" si="10"/>
        <v>1</v>
      </c>
    </row>
    <row r="160" spans="1:9" s="20" customFormat="1" ht="29.25" customHeight="1">
      <c r="A160" s="90" t="s">
        <v>37</v>
      </c>
      <c r="B160" s="27" t="s">
        <v>290</v>
      </c>
      <c r="C160" s="27" t="s">
        <v>304</v>
      </c>
      <c r="D160" s="27" t="s">
        <v>292</v>
      </c>
      <c r="E160" s="68" t="s">
        <v>373</v>
      </c>
      <c r="F160" s="87" t="s">
        <v>38</v>
      </c>
      <c r="G160" s="69">
        <f>G161</f>
        <v>6100</v>
      </c>
      <c r="H160" s="175">
        <f>H161</f>
        <v>6100</v>
      </c>
      <c r="I160" s="185">
        <f t="shared" si="10"/>
        <v>1</v>
      </c>
    </row>
    <row r="161" spans="1:9" s="20" customFormat="1" ht="45.75" customHeight="1">
      <c r="A161" s="116" t="s">
        <v>372</v>
      </c>
      <c r="B161" s="27" t="s">
        <v>290</v>
      </c>
      <c r="C161" s="27" t="s">
        <v>304</v>
      </c>
      <c r="D161" s="27" t="s">
        <v>292</v>
      </c>
      <c r="E161" s="68" t="s">
        <v>373</v>
      </c>
      <c r="F161" s="87" t="s">
        <v>164</v>
      </c>
      <c r="G161" s="69">
        <v>6100</v>
      </c>
      <c r="H161" s="175">
        <v>6100</v>
      </c>
      <c r="I161" s="185">
        <f t="shared" si="10"/>
        <v>1</v>
      </c>
    </row>
    <row r="162" spans="1:9" s="20" customFormat="1" ht="58.5" customHeight="1">
      <c r="A162" s="89" t="s">
        <v>376</v>
      </c>
      <c r="B162" s="27" t="s">
        <v>290</v>
      </c>
      <c r="C162" s="27" t="s">
        <v>304</v>
      </c>
      <c r="D162" s="27" t="s">
        <v>292</v>
      </c>
      <c r="E162" s="68" t="s">
        <v>373</v>
      </c>
      <c r="F162" s="87"/>
      <c r="G162" s="69">
        <f>G163</f>
        <v>4000</v>
      </c>
      <c r="H162" s="175">
        <f>H163</f>
        <v>4000</v>
      </c>
      <c r="I162" s="185">
        <f t="shared" si="10"/>
        <v>1</v>
      </c>
    </row>
    <row r="163" spans="1:9" s="20" customFormat="1" ht="26.25" customHeight="1">
      <c r="A163" s="90" t="s">
        <v>37</v>
      </c>
      <c r="B163" s="27" t="s">
        <v>290</v>
      </c>
      <c r="C163" s="27" t="s">
        <v>304</v>
      </c>
      <c r="D163" s="27" t="s">
        <v>292</v>
      </c>
      <c r="E163" s="68" t="s">
        <v>373</v>
      </c>
      <c r="F163" s="87" t="s">
        <v>38</v>
      </c>
      <c r="G163" s="69">
        <f>G164</f>
        <v>4000</v>
      </c>
      <c r="H163" s="175">
        <f>H164</f>
        <v>4000</v>
      </c>
      <c r="I163" s="185">
        <f t="shared" si="10"/>
        <v>1</v>
      </c>
    </row>
    <row r="164" spans="1:9" s="20" customFormat="1" ht="45" customHeight="1">
      <c r="A164" s="116" t="s">
        <v>372</v>
      </c>
      <c r="B164" s="27" t="s">
        <v>290</v>
      </c>
      <c r="C164" s="27" t="s">
        <v>304</v>
      </c>
      <c r="D164" s="27" t="s">
        <v>292</v>
      </c>
      <c r="E164" s="68" t="s">
        <v>373</v>
      </c>
      <c r="F164" s="87" t="s">
        <v>164</v>
      </c>
      <c r="G164" s="69">
        <v>4000</v>
      </c>
      <c r="H164" s="175">
        <v>4000</v>
      </c>
      <c r="I164" s="185">
        <f t="shared" si="10"/>
        <v>1</v>
      </c>
    </row>
    <row r="165" spans="1:9" s="20" customFormat="1" ht="13.5">
      <c r="A165" s="81" t="s">
        <v>179</v>
      </c>
      <c r="B165" s="27" t="s">
        <v>290</v>
      </c>
      <c r="C165" s="27" t="s">
        <v>304</v>
      </c>
      <c r="D165" s="27" t="s">
        <v>297</v>
      </c>
      <c r="E165" s="92"/>
      <c r="F165" s="27"/>
      <c r="G165" s="100">
        <f>G166</f>
        <v>72290.89465</v>
      </c>
      <c r="H165" s="173">
        <f>H166</f>
        <v>49538.76769</v>
      </c>
      <c r="I165" s="185">
        <f t="shared" si="10"/>
        <v>0.6852698106704093</v>
      </c>
    </row>
    <row r="166" spans="1:9" s="20" customFormat="1" ht="63.75">
      <c r="A166" s="77" t="s">
        <v>114</v>
      </c>
      <c r="B166" s="27" t="s">
        <v>290</v>
      </c>
      <c r="C166" s="27" t="s">
        <v>304</v>
      </c>
      <c r="D166" s="27" t="s">
        <v>297</v>
      </c>
      <c r="E166" s="71" t="s">
        <v>115</v>
      </c>
      <c r="F166" s="71"/>
      <c r="G166" s="95">
        <f>G167</f>
        <v>72290.89465</v>
      </c>
      <c r="H166" s="180">
        <f>H167</f>
        <v>49538.76769</v>
      </c>
      <c r="I166" s="185">
        <f t="shared" si="10"/>
        <v>0.6852698106704093</v>
      </c>
    </row>
    <row r="167" spans="1:9" s="20" customFormat="1" ht="12.75">
      <c r="A167" s="77" t="s">
        <v>181</v>
      </c>
      <c r="B167" s="27" t="s">
        <v>290</v>
      </c>
      <c r="C167" s="27" t="s">
        <v>304</v>
      </c>
      <c r="D167" s="27" t="s">
        <v>297</v>
      </c>
      <c r="E167" s="71" t="s">
        <v>182</v>
      </c>
      <c r="F167" s="71"/>
      <c r="G167" s="95">
        <f>G168+G181+G195</f>
        <v>72290.89465</v>
      </c>
      <c r="H167" s="180">
        <f>H168+H181+H195</f>
        <v>49538.76769</v>
      </c>
      <c r="I167" s="185">
        <f t="shared" si="10"/>
        <v>0.6852698106704093</v>
      </c>
    </row>
    <row r="168" spans="1:9" s="20" customFormat="1" ht="38.25">
      <c r="A168" s="83" t="s">
        <v>183</v>
      </c>
      <c r="B168" s="27" t="s">
        <v>290</v>
      </c>
      <c r="C168" s="27" t="s">
        <v>304</v>
      </c>
      <c r="D168" s="27" t="s">
        <v>297</v>
      </c>
      <c r="E168" s="71" t="s">
        <v>184</v>
      </c>
      <c r="F168" s="71"/>
      <c r="G168" s="95">
        <f>G169+G172+G175+G178</f>
        <v>29281.815</v>
      </c>
      <c r="H168" s="180">
        <f>H169+H172+H175+H178</f>
        <v>25908.60684</v>
      </c>
      <c r="I168" s="185">
        <f t="shared" si="10"/>
        <v>0.8848019441417823</v>
      </c>
    </row>
    <row r="169" spans="1:9" s="20" customFormat="1" ht="22.5" customHeight="1">
      <c r="A169" s="77" t="s">
        <v>185</v>
      </c>
      <c r="B169" s="27" t="s">
        <v>290</v>
      </c>
      <c r="C169" s="27" t="s">
        <v>304</v>
      </c>
      <c r="D169" s="27" t="s">
        <v>297</v>
      </c>
      <c r="E169" s="71" t="s">
        <v>186</v>
      </c>
      <c r="F169" s="71"/>
      <c r="G169" s="95">
        <f>G170</f>
        <v>18462.083</v>
      </c>
      <c r="H169" s="180">
        <f>H170</f>
        <v>15360.35414</v>
      </c>
      <c r="I169" s="185">
        <f t="shared" si="10"/>
        <v>0.8319946422080325</v>
      </c>
    </row>
    <row r="170" spans="1:9" s="20" customFormat="1" ht="38.25">
      <c r="A170" s="77" t="s">
        <v>187</v>
      </c>
      <c r="B170" s="27" t="s">
        <v>290</v>
      </c>
      <c r="C170" s="27" t="s">
        <v>304</v>
      </c>
      <c r="D170" s="27" t="s">
        <v>297</v>
      </c>
      <c r="E170" s="71" t="s">
        <v>186</v>
      </c>
      <c r="F170" s="71" t="s">
        <v>188</v>
      </c>
      <c r="G170" s="76">
        <f>G171</f>
        <v>18462.083</v>
      </c>
      <c r="H170" s="174">
        <f>H171</f>
        <v>15360.35414</v>
      </c>
      <c r="I170" s="185">
        <f t="shared" si="10"/>
        <v>0.8319946422080325</v>
      </c>
    </row>
    <row r="171" spans="1:9" s="20" customFormat="1" ht="12.75">
      <c r="A171" s="77" t="s">
        <v>189</v>
      </c>
      <c r="B171" s="27" t="s">
        <v>290</v>
      </c>
      <c r="C171" s="27" t="s">
        <v>304</v>
      </c>
      <c r="D171" s="27" t="s">
        <v>297</v>
      </c>
      <c r="E171" s="71" t="s">
        <v>186</v>
      </c>
      <c r="F171" s="71" t="s">
        <v>190</v>
      </c>
      <c r="G171" s="76">
        <f>15293.4+1324.4+830+425.083+89.2+500</f>
        <v>18462.083</v>
      </c>
      <c r="H171" s="174">
        <v>15360.35414</v>
      </c>
      <c r="I171" s="185">
        <f t="shared" si="10"/>
        <v>0.8319946422080325</v>
      </c>
    </row>
    <row r="172" spans="1:9" s="20" customFormat="1" ht="21" customHeight="1">
      <c r="A172" s="77" t="s">
        <v>191</v>
      </c>
      <c r="B172" s="27" t="s">
        <v>290</v>
      </c>
      <c r="C172" s="27" t="s">
        <v>304</v>
      </c>
      <c r="D172" s="27" t="s">
        <v>297</v>
      </c>
      <c r="E172" s="71" t="s">
        <v>192</v>
      </c>
      <c r="F172" s="71"/>
      <c r="G172" s="95">
        <f>G173</f>
        <v>5658.2</v>
      </c>
      <c r="H172" s="180">
        <f>H173</f>
        <v>5658.2</v>
      </c>
      <c r="I172" s="185">
        <f t="shared" si="10"/>
        <v>1</v>
      </c>
    </row>
    <row r="173" spans="1:9" s="20" customFormat="1" ht="38.25">
      <c r="A173" s="77" t="s">
        <v>187</v>
      </c>
      <c r="B173" s="27" t="s">
        <v>290</v>
      </c>
      <c r="C173" s="27" t="s">
        <v>304</v>
      </c>
      <c r="D173" s="27" t="s">
        <v>297</v>
      </c>
      <c r="E173" s="71" t="s">
        <v>192</v>
      </c>
      <c r="F173" s="71" t="s">
        <v>188</v>
      </c>
      <c r="G173" s="76">
        <f>G174</f>
        <v>5658.2</v>
      </c>
      <c r="H173" s="174">
        <f>H174</f>
        <v>5658.2</v>
      </c>
      <c r="I173" s="185">
        <f t="shared" si="10"/>
        <v>1</v>
      </c>
    </row>
    <row r="174" spans="1:9" s="20" customFormat="1" ht="12.75">
      <c r="A174" s="77" t="s">
        <v>189</v>
      </c>
      <c r="B174" s="27" t="s">
        <v>290</v>
      </c>
      <c r="C174" s="27" t="s">
        <v>304</v>
      </c>
      <c r="D174" s="27" t="s">
        <v>297</v>
      </c>
      <c r="E174" s="71" t="s">
        <v>192</v>
      </c>
      <c r="F174" s="71" t="s">
        <v>190</v>
      </c>
      <c r="G174" s="76">
        <f>5423.2+235</f>
        <v>5658.2</v>
      </c>
      <c r="H174" s="174">
        <v>5658.2</v>
      </c>
      <c r="I174" s="185">
        <f t="shared" si="10"/>
        <v>1</v>
      </c>
    </row>
    <row r="175" spans="1:9" s="20" customFormat="1" ht="12.75">
      <c r="A175" s="77" t="s">
        <v>193</v>
      </c>
      <c r="B175" s="27" t="s">
        <v>290</v>
      </c>
      <c r="C175" s="27" t="s">
        <v>304</v>
      </c>
      <c r="D175" s="27" t="s">
        <v>297</v>
      </c>
      <c r="E175" s="71" t="s">
        <v>194</v>
      </c>
      <c r="F175" s="64"/>
      <c r="G175" s="76">
        <f>G176</f>
        <v>5061.532</v>
      </c>
      <c r="H175" s="174">
        <f>H176</f>
        <v>4797.2527</v>
      </c>
      <c r="I175" s="185">
        <f t="shared" si="10"/>
        <v>0.9477866977824105</v>
      </c>
    </row>
    <row r="176" spans="1:9" s="20" customFormat="1" ht="25.5">
      <c r="A176" s="28" t="s">
        <v>33</v>
      </c>
      <c r="B176" s="27" t="s">
        <v>290</v>
      </c>
      <c r="C176" s="27" t="s">
        <v>304</v>
      </c>
      <c r="D176" s="27" t="s">
        <v>297</v>
      </c>
      <c r="E176" s="71" t="s">
        <v>194</v>
      </c>
      <c r="F176" s="71" t="s">
        <v>34</v>
      </c>
      <c r="G176" s="76">
        <f>G177</f>
        <v>5061.532</v>
      </c>
      <c r="H176" s="174">
        <f>H177</f>
        <v>4797.2527</v>
      </c>
      <c r="I176" s="185">
        <f t="shared" si="10"/>
        <v>0.9477866977824105</v>
      </c>
    </row>
    <row r="177" spans="1:9" s="20" customFormat="1" ht="25.5">
      <c r="A177" s="28" t="s">
        <v>35</v>
      </c>
      <c r="B177" s="27" t="s">
        <v>290</v>
      </c>
      <c r="C177" s="27" t="s">
        <v>304</v>
      </c>
      <c r="D177" s="27" t="s">
        <v>297</v>
      </c>
      <c r="E177" s="71" t="s">
        <v>194</v>
      </c>
      <c r="F177" s="71" t="s">
        <v>36</v>
      </c>
      <c r="G177" s="76">
        <f>4236.6+409.732+415.2</f>
        <v>5061.532</v>
      </c>
      <c r="H177" s="174">
        <v>4797.2527</v>
      </c>
      <c r="I177" s="185">
        <f t="shared" si="10"/>
        <v>0.9477866977824105</v>
      </c>
    </row>
    <row r="178" spans="1:9" s="20" customFormat="1" ht="25.5">
      <c r="A178" s="77" t="s">
        <v>195</v>
      </c>
      <c r="B178" s="27" t="s">
        <v>290</v>
      </c>
      <c r="C178" s="27" t="s">
        <v>304</v>
      </c>
      <c r="D178" s="27" t="s">
        <v>297</v>
      </c>
      <c r="E178" s="71" t="s">
        <v>196</v>
      </c>
      <c r="F178" s="64"/>
      <c r="G178" s="76">
        <f>G179</f>
        <v>100</v>
      </c>
      <c r="H178" s="174">
        <f>H179</f>
        <v>92.8</v>
      </c>
      <c r="I178" s="185">
        <f t="shared" si="10"/>
        <v>0.9279999999999999</v>
      </c>
    </row>
    <row r="179" spans="1:9" s="20" customFormat="1" ht="25.5">
      <c r="A179" s="28" t="s">
        <v>33</v>
      </c>
      <c r="B179" s="27" t="s">
        <v>290</v>
      </c>
      <c r="C179" s="27" t="s">
        <v>304</v>
      </c>
      <c r="D179" s="27" t="s">
        <v>297</v>
      </c>
      <c r="E179" s="71" t="s">
        <v>196</v>
      </c>
      <c r="F179" s="71" t="s">
        <v>34</v>
      </c>
      <c r="G179" s="76">
        <f>G180</f>
        <v>100</v>
      </c>
      <c r="H179" s="174">
        <f>H180</f>
        <v>92.8</v>
      </c>
      <c r="I179" s="185">
        <f t="shared" si="10"/>
        <v>0.9279999999999999</v>
      </c>
    </row>
    <row r="180" spans="1:9" s="20" customFormat="1" ht="25.5">
      <c r="A180" s="28" t="s">
        <v>35</v>
      </c>
      <c r="B180" s="27" t="s">
        <v>290</v>
      </c>
      <c r="C180" s="27" t="s">
        <v>304</v>
      </c>
      <c r="D180" s="27" t="s">
        <v>297</v>
      </c>
      <c r="E180" s="71" t="s">
        <v>196</v>
      </c>
      <c r="F180" s="71" t="s">
        <v>36</v>
      </c>
      <c r="G180" s="76">
        <v>100</v>
      </c>
      <c r="H180" s="174">
        <v>92.8</v>
      </c>
      <c r="I180" s="185">
        <f t="shared" si="10"/>
        <v>0.9279999999999999</v>
      </c>
    </row>
    <row r="181" spans="1:9" s="20" customFormat="1" ht="22.5" customHeight="1">
      <c r="A181" s="83" t="s">
        <v>197</v>
      </c>
      <c r="B181" s="27" t="s">
        <v>290</v>
      </c>
      <c r="C181" s="27" t="s">
        <v>304</v>
      </c>
      <c r="D181" s="27" t="s">
        <v>297</v>
      </c>
      <c r="E181" s="71" t="s">
        <v>198</v>
      </c>
      <c r="F181" s="71"/>
      <c r="G181" s="76">
        <f>G182+G185+G192+G189</f>
        <v>21184.199650000002</v>
      </c>
      <c r="H181" s="174">
        <f>H182+H185+H192+H189</f>
        <v>19162.7926</v>
      </c>
      <c r="I181" s="185">
        <f t="shared" si="10"/>
        <v>0.9045794939909376</v>
      </c>
    </row>
    <row r="182" spans="1:9" s="20" customFormat="1" ht="12.75">
      <c r="A182" s="77" t="s">
        <v>199</v>
      </c>
      <c r="B182" s="27" t="s">
        <v>290</v>
      </c>
      <c r="C182" s="27" t="s">
        <v>304</v>
      </c>
      <c r="D182" s="27" t="s">
        <v>297</v>
      </c>
      <c r="E182" s="71" t="s">
        <v>200</v>
      </c>
      <c r="F182" s="71"/>
      <c r="G182" s="76">
        <f>G183</f>
        <v>4332.5</v>
      </c>
      <c r="H182" s="174">
        <f>H183</f>
        <v>4096.40437</v>
      </c>
      <c r="I182" s="185">
        <f t="shared" si="10"/>
        <v>0.9455059134448933</v>
      </c>
    </row>
    <row r="183" spans="1:9" s="20" customFormat="1" ht="25.5">
      <c r="A183" s="28" t="s">
        <v>33</v>
      </c>
      <c r="B183" s="27" t="s">
        <v>290</v>
      </c>
      <c r="C183" s="27" t="s">
        <v>304</v>
      </c>
      <c r="D183" s="27" t="s">
        <v>297</v>
      </c>
      <c r="E183" s="71" t="s">
        <v>200</v>
      </c>
      <c r="F183" s="71" t="s">
        <v>34</v>
      </c>
      <c r="G183" s="76">
        <f>G184</f>
        <v>4332.5</v>
      </c>
      <c r="H183" s="174">
        <f>H184</f>
        <v>4096.40437</v>
      </c>
      <c r="I183" s="185">
        <f t="shared" si="10"/>
        <v>0.9455059134448933</v>
      </c>
    </row>
    <row r="184" spans="1:9" s="20" customFormat="1" ht="19.5" customHeight="1">
      <c r="A184" s="28" t="s">
        <v>35</v>
      </c>
      <c r="B184" s="27" t="s">
        <v>290</v>
      </c>
      <c r="C184" s="27" t="s">
        <v>304</v>
      </c>
      <c r="D184" s="27" t="s">
        <v>297</v>
      </c>
      <c r="E184" s="71" t="s">
        <v>200</v>
      </c>
      <c r="F184" s="71" t="s">
        <v>36</v>
      </c>
      <c r="G184" s="76">
        <f>4513-180.5</f>
        <v>4332.5</v>
      </c>
      <c r="H184" s="174">
        <v>4096.40437</v>
      </c>
      <c r="I184" s="185">
        <f t="shared" si="10"/>
        <v>0.9455059134448933</v>
      </c>
    </row>
    <row r="185" spans="1:9" s="20" customFormat="1" ht="25.5">
      <c r="A185" s="28" t="s">
        <v>201</v>
      </c>
      <c r="B185" s="27" t="s">
        <v>290</v>
      </c>
      <c r="C185" s="27" t="s">
        <v>304</v>
      </c>
      <c r="D185" s="27" t="s">
        <v>297</v>
      </c>
      <c r="E185" s="71" t="s">
        <v>202</v>
      </c>
      <c r="F185" s="71"/>
      <c r="G185" s="76">
        <f>G186</f>
        <v>6221.219999999999</v>
      </c>
      <c r="H185" s="174">
        <f>H186</f>
        <v>5253.76</v>
      </c>
      <c r="I185" s="185">
        <f t="shared" si="10"/>
        <v>0.8444903089747672</v>
      </c>
    </row>
    <row r="186" spans="1:9" s="20" customFormat="1" ht="25.5">
      <c r="A186" s="28" t="s">
        <v>33</v>
      </c>
      <c r="B186" s="27" t="s">
        <v>290</v>
      </c>
      <c r="C186" s="27" t="s">
        <v>304</v>
      </c>
      <c r="D186" s="27" t="s">
        <v>297</v>
      </c>
      <c r="E186" s="71" t="s">
        <v>202</v>
      </c>
      <c r="F186" s="71" t="s">
        <v>34</v>
      </c>
      <c r="G186" s="76">
        <f>G187</f>
        <v>6221.219999999999</v>
      </c>
      <c r="H186" s="174">
        <f>H187</f>
        <v>5253.76</v>
      </c>
      <c r="I186" s="185">
        <f t="shared" si="10"/>
        <v>0.8444903089747672</v>
      </c>
    </row>
    <row r="187" spans="1:9" s="20" customFormat="1" ht="25.5">
      <c r="A187" s="28" t="s">
        <v>35</v>
      </c>
      <c r="B187" s="27" t="s">
        <v>290</v>
      </c>
      <c r="C187" s="27" t="s">
        <v>304</v>
      </c>
      <c r="D187" s="27" t="s">
        <v>297</v>
      </c>
      <c r="E187" s="71" t="s">
        <v>202</v>
      </c>
      <c r="F187" s="71" t="s">
        <v>36</v>
      </c>
      <c r="G187" s="76">
        <f>4000+2196.22+25</f>
        <v>6221.219999999999</v>
      </c>
      <c r="H187" s="174">
        <v>5253.76</v>
      </c>
      <c r="I187" s="185">
        <f t="shared" si="10"/>
        <v>0.8444903089747672</v>
      </c>
    </row>
    <row r="188" spans="1:9" s="20" customFormat="1" ht="25.5">
      <c r="A188" s="77" t="s">
        <v>122</v>
      </c>
      <c r="B188" s="27" t="s">
        <v>290</v>
      </c>
      <c r="C188" s="27" t="s">
        <v>304</v>
      </c>
      <c r="D188" s="27" t="s">
        <v>297</v>
      </c>
      <c r="E188" s="71" t="s">
        <v>203</v>
      </c>
      <c r="F188" s="71"/>
      <c r="G188" s="76">
        <f aca="true" t="shared" si="12" ref="G188:H190">G189</f>
        <v>7847.120000000001</v>
      </c>
      <c r="H188" s="174">
        <f t="shared" si="12"/>
        <v>7847.0993</v>
      </c>
      <c r="I188" s="185">
        <f t="shared" si="10"/>
        <v>0.9999973620895308</v>
      </c>
    </row>
    <row r="189" spans="1:9" s="20" customFormat="1" ht="63.75">
      <c r="A189" s="40" t="s">
        <v>204</v>
      </c>
      <c r="B189" s="27" t="s">
        <v>290</v>
      </c>
      <c r="C189" s="27" t="s">
        <v>304</v>
      </c>
      <c r="D189" s="27" t="s">
        <v>297</v>
      </c>
      <c r="E189" s="71" t="s">
        <v>205</v>
      </c>
      <c r="F189" s="71"/>
      <c r="G189" s="76">
        <f t="shared" si="12"/>
        <v>7847.120000000001</v>
      </c>
      <c r="H189" s="174">
        <f t="shared" si="12"/>
        <v>7847.0993</v>
      </c>
      <c r="I189" s="185">
        <f t="shared" si="10"/>
        <v>0.9999973620895308</v>
      </c>
    </row>
    <row r="190" spans="1:9" s="20" customFormat="1" ht="25.5">
      <c r="A190" s="28" t="s">
        <v>33</v>
      </c>
      <c r="B190" s="27" t="s">
        <v>290</v>
      </c>
      <c r="C190" s="27" t="s">
        <v>304</v>
      </c>
      <c r="D190" s="27" t="s">
        <v>297</v>
      </c>
      <c r="E190" s="71" t="s">
        <v>205</v>
      </c>
      <c r="F190" s="71" t="s">
        <v>34</v>
      </c>
      <c r="G190" s="76">
        <f t="shared" si="12"/>
        <v>7847.120000000001</v>
      </c>
      <c r="H190" s="174">
        <f t="shared" si="12"/>
        <v>7847.0993</v>
      </c>
      <c r="I190" s="185">
        <f t="shared" si="10"/>
        <v>0.9999973620895308</v>
      </c>
    </row>
    <row r="191" spans="1:9" s="20" customFormat="1" ht="25.5">
      <c r="A191" s="28" t="s">
        <v>35</v>
      </c>
      <c r="B191" s="27" t="s">
        <v>290</v>
      </c>
      <c r="C191" s="27" t="s">
        <v>304</v>
      </c>
      <c r="D191" s="27" t="s">
        <v>297</v>
      </c>
      <c r="E191" s="71" t="s">
        <v>205</v>
      </c>
      <c r="F191" s="71" t="s">
        <v>36</v>
      </c>
      <c r="G191" s="76">
        <f>6513.83+1420.19-86.9</f>
        <v>7847.120000000001</v>
      </c>
      <c r="H191" s="174">
        <v>7847.0993</v>
      </c>
      <c r="I191" s="185">
        <f t="shared" si="10"/>
        <v>0.9999973620895308</v>
      </c>
    </row>
    <row r="192" spans="1:9" s="20" customFormat="1" ht="25.5">
      <c r="A192" s="77" t="s">
        <v>206</v>
      </c>
      <c r="B192" s="27" t="s">
        <v>290</v>
      </c>
      <c r="C192" s="27" t="s">
        <v>304</v>
      </c>
      <c r="D192" s="27" t="s">
        <v>297</v>
      </c>
      <c r="E192" s="71" t="s">
        <v>207</v>
      </c>
      <c r="F192" s="71"/>
      <c r="G192" s="76">
        <f>G193</f>
        <v>2783.359650000001</v>
      </c>
      <c r="H192" s="174">
        <f>H193</f>
        <v>1965.52893</v>
      </c>
      <c r="I192" s="185">
        <f t="shared" si="10"/>
        <v>0.7061713817687914</v>
      </c>
    </row>
    <row r="193" spans="1:9" s="20" customFormat="1" ht="25.5">
      <c r="A193" s="28" t="s">
        <v>33</v>
      </c>
      <c r="B193" s="27" t="s">
        <v>290</v>
      </c>
      <c r="C193" s="27" t="s">
        <v>304</v>
      </c>
      <c r="D193" s="27" t="s">
        <v>297</v>
      </c>
      <c r="E193" s="71" t="s">
        <v>207</v>
      </c>
      <c r="F193" s="71" t="s">
        <v>34</v>
      </c>
      <c r="G193" s="76">
        <f>G194</f>
        <v>2783.359650000001</v>
      </c>
      <c r="H193" s="174">
        <f>H194</f>
        <v>1965.52893</v>
      </c>
      <c r="I193" s="185">
        <f t="shared" si="10"/>
        <v>0.7061713817687914</v>
      </c>
    </row>
    <row r="194" spans="1:9" s="20" customFormat="1" ht="25.5">
      <c r="A194" s="28" t="s">
        <v>35</v>
      </c>
      <c r="B194" s="27" t="s">
        <v>290</v>
      </c>
      <c r="C194" s="27" t="s">
        <v>304</v>
      </c>
      <c r="D194" s="27" t="s">
        <v>297</v>
      </c>
      <c r="E194" s="71" t="s">
        <v>207</v>
      </c>
      <c r="F194" s="71" t="s">
        <v>36</v>
      </c>
      <c r="G194" s="76">
        <f>1300-517.6+110.2+1039.2-70.4+450.13025+331.7294+110.8-15.7+45</f>
        <v>2783.359650000001</v>
      </c>
      <c r="H194" s="174">
        <v>1965.52893</v>
      </c>
      <c r="I194" s="185">
        <f t="shared" si="10"/>
        <v>0.7061713817687914</v>
      </c>
    </row>
    <row r="195" spans="1:9" s="20" customFormat="1" ht="12.75">
      <c r="A195" s="83" t="s">
        <v>213</v>
      </c>
      <c r="B195" s="27" t="s">
        <v>290</v>
      </c>
      <c r="C195" s="27" t="s">
        <v>304</v>
      </c>
      <c r="D195" s="27" t="s">
        <v>297</v>
      </c>
      <c r="E195" s="71" t="s">
        <v>214</v>
      </c>
      <c r="F195" s="71"/>
      <c r="G195" s="76">
        <f>G196+G199</f>
        <v>21824.88</v>
      </c>
      <c r="H195" s="174">
        <f>H196+H199</f>
        <v>4467.3682499999995</v>
      </c>
      <c r="I195" s="185">
        <f t="shared" si="10"/>
        <v>0.20469153782288835</v>
      </c>
    </row>
    <row r="196" spans="1:9" s="20" customFormat="1" ht="25.5">
      <c r="A196" s="77" t="s">
        <v>215</v>
      </c>
      <c r="B196" s="27" t="s">
        <v>290</v>
      </c>
      <c r="C196" s="27" t="s">
        <v>304</v>
      </c>
      <c r="D196" s="27" t="s">
        <v>297</v>
      </c>
      <c r="E196" s="71" t="s">
        <v>216</v>
      </c>
      <c r="F196" s="71"/>
      <c r="G196" s="76">
        <f>G197</f>
        <v>21747</v>
      </c>
      <c r="H196" s="174">
        <f>H197</f>
        <v>4389.4945</v>
      </c>
      <c r="I196" s="185">
        <f t="shared" si="10"/>
        <v>0.20184367958798913</v>
      </c>
    </row>
    <row r="197" spans="1:9" s="20" customFormat="1" ht="25.5">
      <c r="A197" s="28" t="s">
        <v>33</v>
      </c>
      <c r="B197" s="27" t="s">
        <v>290</v>
      </c>
      <c r="C197" s="27" t="s">
        <v>304</v>
      </c>
      <c r="D197" s="27" t="s">
        <v>297</v>
      </c>
      <c r="E197" s="71" t="s">
        <v>216</v>
      </c>
      <c r="F197" s="71" t="s">
        <v>34</v>
      </c>
      <c r="G197" s="76">
        <f>G198</f>
        <v>21747</v>
      </c>
      <c r="H197" s="174">
        <f>H198</f>
        <v>4389.4945</v>
      </c>
      <c r="I197" s="185">
        <f t="shared" si="10"/>
        <v>0.20184367958798913</v>
      </c>
    </row>
    <row r="198" spans="1:9" s="20" customFormat="1" ht="25.5">
      <c r="A198" s="28" t="s">
        <v>35</v>
      </c>
      <c r="B198" s="27" t="s">
        <v>290</v>
      </c>
      <c r="C198" s="27" t="s">
        <v>304</v>
      </c>
      <c r="D198" s="27" t="s">
        <v>297</v>
      </c>
      <c r="E198" s="71" t="s">
        <v>216</v>
      </c>
      <c r="F198" s="71" t="s">
        <v>36</v>
      </c>
      <c r="G198" s="76">
        <f>2400-2000+750+200+90+550+60050-37750-7000-1000+1200-200+2877+1080+500</f>
        <v>21747</v>
      </c>
      <c r="H198" s="174">
        <v>4389.4945</v>
      </c>
      <c r="I198" s="185">
        <f t="shared" si="10"/>
        <v>0.20184367958798913</v>
      </c>
    </row>
    <row r="199" spans="1:9" s="20" customFormat="1" ht="38.25">
      <c r="A199" s="77" t="s">
        <v>380</v>
      </c>
      <c r="B199" s="27" t="s">
        <v>290</v>
      </c>
      <c r="C199" s="27" t="s">
        <v>304</v>
      </c>
      <c r="D199" s="27" t="s">
        <v>297</v>
      </c>
      <c r="E199" s="71" t="s">
        <v>214</v>
      </c>
      <c r="F199" s="71"/>
      <c r="G199" s="76">
        <f>G200+G203</f>
        <v>77.87999999999978</v>
      </c>
      <c r="H199" s="174">
        <f>H200+H203</f>
        <v>77.87374999999979</v>
      </c>
      <c r="I199" s="185">
        <f t="shared" si="10"/>
        <v>0.9999197483307654</v>
      </c>
    </row>
    <row r="200" spans="1:9" s="20" customFormat="1" ht="38.25">
      <c r="A200" s="84" t="s">
        <v>217</v>
      </c>
      <c r="B200" s="27" t="s">
        <v>290</v>
      </c>
      <c r="C200" s="27" t="s">
        <v>304</v>
      </c>
      <c r="D200" s="27" t="s">
        <v>297</v>
      </c>
      <c r="E200" s="71" t="s">
        <v>381</v>
      </c>
      <c r="F200" s="71"/>
      <c r="G200" s="76">
        <f>G201</f>
        <v>77.89</v>
      </c>
      <c r="H200" s="174">
        <f>H201</f>
        <v>77.88375</v>
      </c>
      <c r="I200" s="185">
        <f t="shared" si="10"/>
        <v>0.9999197586339711</v>
      </c>
    </row>
    <row r="201" spans="1:9" s="20" customFormat="1" ht="25.5">
      <c r="A201" s="28" t="s">
        <v>33</v>
      </c>
      <c r="B201" s="27" t="s">
        <v>290</v>
      </c>
      <c r="C201" s="27" t="s">
        <v>304</v>
      </c>
      <c r="D201" s="27" t="s">
        <v>297</v>
      </c>
      <c r="E201" s="71" t="s">
        <v>381</v>
      </c>
      <c r="F201" s="71" t="s">
        <v>34</v>
      </c>
      <c r="G201" s="76">
        <f>G202</f>
        <v>77.89</v>
      </c>
      <c r="H201" s="174">
        <f>H202</f>
        <v>77.88375</v>
      </c>
      <c r="I201" s="185">
        <f t="shared" si="10"/>
        <v>0.9999197586339711</v>
      </c>
    </row>
    <row r="202" spans="1:9" s="20" customFormat="1" ht="25.5">
      <c r="A202" s="28" t="s">
        <v>35</v>
      </c>
      <c r="B202" s="27" t="s">
        <v>290</v>
      </c>
      <c r="C202" s="27" t="s">
        <v>304</v>
      </c>
      <c r="D202" s="27" t="s">
        <v>297</v>
      </c>
      <c r="E202" s="71" t="s">
        <v>381</v>
      </c>
      <c r="F202" s="71" t="s">
        <v>36</v>
      </c>
      <c r="G202" s="76">
        <v>77.89</v>
      </c>
      <c r="H202" s="174">
        <v>77.88375</v>
      </c>
      <c r="I202" s="185">
        <f t="shared" si="10"/>
        <v>0.9999197586339711</v>
      </c>
    </row>
    <row r="203" spans="1:9" s="20" customFormat="1" ht="38.25" hidden="1">
      <c r="A203" s="84" t="s">
        <v>218</v>
      </c>
      <c r="B203" s="27" t="s">
        <v>290</v>
      </c>
      <c r="C203" s="27" t="s">
        <v>304</v>
      </c>
      <c r="D203" s="27" t="s">
        <v>297</v>
      </c>
      <c r="E203" s="71" t="s">
        <v>219</v>
      </c>
      <c r="F203" s="71"/>
      <c r="G203" s="76">
        <f>G204</f>
        <v>-0.010000000000218279</v>
      </c>
      <c r="H203" s="174">
        <f>H204</f>
        <v>-0.010000000000218279</v>
      </c>
      <c r="I203" s="185">
        <f aca="true" t="shared" si="13" ref="I203:I266">H203/G203</f>
        <v>1</v>
      </c>
    </row>
    <row r="204" spans="1:9" s="20" customFormat="1" ht="25.5" hidden="1">
      <c r="A204" s="28" t="s">
        <v>33</v>
      </c>
      <c r="B204" s="27" t="s">
        <v>290</v>
      </c>
      <c r="C204" s="27" t="s">
        <v>304</v>
      </c>
      <c r="D204" s="27" t="s">
        <v>297</v>
      </c>
      <c r="E204" s="71" t="s">
        <v>219</v>
      </c>
      <c r="F204" s="71" t="s">
        <v>34</v>
      </c>
      <c r="G204" s="76">
        <f>G205</f>
        <v>-0.010000000000218279</v>
      </c>
      <c r="H204" s="174">
        <f>H205</f>
        <v>-0.010000000000218279</v>
      </c>
      <c r="I204" s="185">
        <f t="shared" si="13"/>
        <v>1</v>
      </c>
    </row>
    <row r="205" spans="1:9" s="20" customFormat="1" ht="25.5" hidden="1">
      <c r="A205" s="28" t="s">
        <v>35</v>
      </c>
      <c r="B205" s="27" t="s">
        <v>290</v>
      </c>
      <c r="C205" s="27" t="s">
        <v>304</v>
      </c>
      <c r="D205" s="27" t="s">
        <v>297</v>
      </c>
      <c r="E205" s="71" t="s">
        <v>219</v>
      </c>
      <c r="F205" s="71" t="s">
        <v>36</v>
      </c>
      <c r="G205" s="76">
        <f>5673.79+1237-6910.8</f>
        <v>-0.010000000000218279</v>
      </c>
      <c r="H205" s="174">
        <f>5673.79+1237-6910.8</f>
        <v>-0.010000000000218279</v>
      </c>
      <c r="I205" s="185">
        <f t="shared" si="13"/>
        <v>1</v>
      </c>
    </row>
    <row r="206" spans="1:9" s="20" customFormat="1" ht="13.5">
      <c r="A206" s="72" t="s">
        <v>220</v>
      </c>
      <c r="B206" s="27" t="s">
        <v>290</v>
      </c>
      <c r="C206" s="27" t="s">
        <v>294</v>
      </c>
      <c r="D206" s="27"/>
      <c r="E206" s="117"/>
      <c r="F206" s="117"/>
      <c r="G206" s="118">
        <f aca="true" t="shared" si="14" ref="G206:H208">G207</f>
        <v>60</v>
      </c>
      <c r="H206" s="181">
        <f t="shared" si="14"/>
        <v>43.23</v>
      </c>
      <c r="I206" s="185">
        <f t="shared" si="13"/>
        <v>0.7204999999999999</v>
      </c>
    </row>
    <row r="207" spans="1:9" s="20" customFormat="1" ht="38.25">
      <c r="A207" s="28" t="s">
        <v>222</v>
      </c>
      <c r="B207" s="27" t="s">
        <v>290</v>
      </c>
      <c r="C207" s="27" t="s">
        <v>294</v>
      </c>
      <c r="D207" s="27" t="s">
        <v>294</v>
      </c>
      <c r="E207" s="71"/>
      <c r="F207" s="27"/>
      <c r="G207" s="76">
        <f t="shared" si="14"/>
        <v>60</v>
      </c>
      <c r="H207" s="174">
        <f t="shared" si="14"/>
        <v>43.23</v>
      </c>
      <c r="I207" s="185">
        <f t="shared" si="13"/>
        <v>0.7204999999999999</v>
      </c>
    </row>
    <row r="208" spans="1:9" s="20" customFormat="1" ht="25.5">
      <c r="A208" s="28" t="s">
        <v>33</v>
      </c>
      <c r="B208" s="27" t="s">
        <v>290</v>
      </c>
      <c r="C208" s="27" t="s">
        <v>294</v>
      </c>
      <c r="D208" s="27" t="s">
        <v>294</v>
      </c>
      <c r="E208" s="71" t="s">
        <v>225</v>
      </c>
      <c r="F208" s="27" t="s">
        <v>34</v>
      </c>
      <c r="G208" s="76">
        <f t="shared" si="14"/>
        <v>60</v>
      </c>
      <c r="H208" s="174">
        <f t="shared" si="14"/>
        <v>43.23</v>
      </c>
      <c r="I208" s="185">
        <f t="shared" si="13"/>
        <v>0.7204999999999999</v>
      </c>
    </row>
    <row r="209" spans="1:9" s="20" customFormat="1" ht="25.5">
      <c r="A209" s="28" t="s">
        <v>35</v>
      </c>
      <c r="B209" s="27" t="s">
        <v>290</v>
      </c>
      <c r="C209" s="27" t="s">
        <v>294</v>
      </c>
      <c r="D209" s="27" t="s">
        <v>294</v>
      </c>
      <c r="E209" s="71" t="s">
        <v>225</v>
      </c>
      <c r="F209" s="27" t="s">
        <v>36</v>
      </c>
      <c r="G209" s="76">
        <f>1022-962</f>
        <v>60</v>
      </c>
      <c r="H209" s="174">
        <v>43.23</v>
      </c>
      <c r="I209" s="185">
        <f t="shared" si="13"/>
        <v>0.7204999999999999</v>
      </c>
    </row>
    <row r="210" spans="1:9" s="20" customFormat="1" ht="13.5">
      <c r="A210" s="72" t="s">
        <v>226</v>
      </c>
      <c r="B210" s="27" t="s">
        <v>290</v>
      </c>
      <c r="C210" s="27" t="s">
        <v>308</v>
      </c>
      <c r="D210" s="27"/>
      <c r="E210" s="111"/>
      <c r="F210" s="111"/>
      <c r="G210" s="100">
        <f>G211</f>
        <v>40826.1</v>
      </c>
      <c r="H210" s="173">
        <f>H211</f>
        <v>24766.09371</v>
      </c>
      <c r="I210" s="185">
        <f t="shared" si="13"/>
        <v>0.6066240397686774</v>
      </c>
    </row>
    <row r="211" spans="1:9" s="20" customFormat="1" ht="12.75">
      <c r="A211" s="74" t="s">
        <v>228</v>
      </c>
      <c r="B211" s="27" t="s">
        <v>290</v>
      </c>
      <c r="C211" s="27" t="s">
        <v>308</v>
      </c>
      <c r="D211" s="27" t="s">
        <v>291</v>
      </c>
      <c r="E211" s="27"/>
      <c r="F211" s="27"/>
      <c r="G211" s="76">
        <f>G212</f>
        <v>40826.1</v>
      </c>
      <c r="H211" s="174">
        <f>H212</f>
        <v>24766.09371</v>
      </c>
      <c r="I211" s="185">
        <f t="shared" si="13"/>
        <v>0.6066240397686774</v>
      </c>
    </row>
    <row r="212" spans="1:9" s="20" customFormat="1" ht="38.25">
      <c r="A212" s="28" t="s">
        <v>230</v>
      </c>
      <c r="B212" s="27" t="s">
        <v>290</v>
      </c>
      <c r="C212" s="27" t="s">
        <v>308</v>
      </c>
      <c r="D212" s="27" t="s">
        <v>291</v>
      </c>
      <c r="E212" s="71" t="s">
        <v>231</v>
      </c>
      <c r="F212" s="114"/>
      <c r="G212" s="76">
        <f>G213+G217+G220</f>
        <v>40826.1</v>
      </c>
      <c r="H212" s="174">
        <f>H213+H217+H220</f>
        <v>24766.09371</v>
      </c>
      <c r="I212" s="185">
        <f t="shared" si="13"/>
        <v>0.6066240397686774</v>
      </c>
    </row>
    <row r="213" spans="1:9" s="20" customFormat="1" ht="25.5">
      <c r="A213" s="77" t="s">
        <v>232</v>
      </c>
      <c r="B213" s="27" t="s">
        <v>290</v>
      </c>
      <c r="C213" s="27" t="s">
        <v>308</v>
      </c>
      <c r="D213" s="27" t="s">
        <v>291</v>
      </c>
      <c r="E213" s="68" t="s">
        <v>233</v>
      </c>
      <c r="F213" s="114"/>
      <c r="G213" s="76">
        <f aca="true" t="shared" si="15" ref="G213:H215">G214</f>
        <v>33246.1</v>
      </c>
      <c r="H213" s="174">
        <f t="shared" si="15"/>
        <v>24687.79371</v>
      </c>
      <c r="I213" s="185">
        <f t="shared" si="13"/>
        <v>0.7425771356640328</v>
      </c>
    </row>
    <row r="214" spans="1:9" s="20" customFormat="1" ht="25.5">
      <c r="A214" s="77" t="s">
        <v>234</v>
      </c>
      <c r="B214" s="27" t="s">
        <v>290</v>
      </c>
      <c r="C214" s="27" t="s">
        <v>308</v>
      </c>
      <c r="D214" s="27" t="s">
        <v>291</v>
      </c>
      <c r="E214" s="68" t="s">
        <v>233</v>
      </c>
      <c r="F214" s="114"/>
      <c r="G214" s="76">
        <f t="shared" si="15"/>
        <v>33246.1</v>
      </c>
      <c r="H214" s="174">
        <f t="shared" si="15"/>
        <v>24687.79371</v>
      </c>
      <c r="I214" s="185">
        <f t="shared" si="13"/>
        <v>0.7425771356640328</v>
      </c>
    </row>
    <row r="215" spans="1:9" s="20" customFormat="1" ht="38.25">
      <c r="A215" s="77" t="s">
        <v>187</v>
      </c>
      <c r="B215" s="27" t="s">
        <v>290</v>
      </c>
      <c r="C215" s="27" t="s">
        <v>308</v>
      </c>
      <c r="D215" s="27" t="s">
        <v>291</v>
      </c>
      <c r="E215" s="68" t="s">
        <v>233</v>
      </c>
      <c r="F215" s="114" t="s">
        <v>188</v>
      </c>
      <c r="G215" s="76">
        <f t="shared" si="15"/>
        <v>33246.1</v>
      </c>
      <c r="H215" s="174">
        <f t="shared" si="15"/>
        <v>24687.79371</v>
      </c>
      <c r="I215" s="185">
        <f t="shared" si="13"/>
        <v>0.7425771356640328</v>
      </c>
    </row>
    <row r="216" spans="1:9" s="20" customFormat="1" ht="12.75">
      <c r="A216" s="77" t="s">
        <v>189</v>
      </c>
      <c r="B216" s="27" t="s">
        <v>290</v>
      </c>
      <c r="C216" s="27" t="s">
        <v>308</v>
      </c>
      <c r="D216" s="27" t="s">
        <v>291</v>
      </c>
      <c r="E216" s="68" t="s">
        <v>233</v>
      </c>
      <c r="F216" s="114" t="s">
        <v>190</v>
      </c>
      <c r="G216" s="76">
        <f>26729.1+1097-647+420+1000+4647</f>
        <v>33246.1</v>
      </c>
      <c r="H216" s="174">
        <v>24687.79371</v>
      </c>
      <c r="I216" s="185">
        <f t="shared" si="13"/>
        <v>0.7425771356640328</v>
      </c>
    </row>
    <row r="217" spans="1:9" s="20" customFormat="1" ht="38.25">
      <c r="A217" s="77" t="s">
        <v>235</v>
      </c>
      <c r="B217" s="27" t="s">
        <v>290</v>
      </c>
      <c r="C217" s="27" t="s">
        <v>308</v>
      </c>
      <c r="D217" s="27" t="s">
        <v>291</v>
      </c>
      <c r="E217" s="68" t="s">
        <v>236</v>
      </c>
      <c r="F217" s="27"/>
      <c r="G217" s="76">
        <f>G218</f>
        <v>7500</v>
      </c>
      <c r="H217" s="174">
        <f>H218</f>
        <v>0</v>
      </c>
      <c r="I217" s="185">
        <f t="shared" si="13"/>
        <v>0</v>
      </c>
    </row>
    <row r="218" spans="1:9" s="20" customFormat="1" ht="25.5">
      <c r="A218" s="77" t="s">
        <v>33</v>
      </c>
      <c r="B218" s="27" t="s">
        <v>290</v>
      </c>
      <c r="C218" s="27" t="s">
        <v>308</v>
      </c>
      <c r="D218" s="27" t="s">
        <v>291</v>
      </c>
      <c r="E218" s="68" t="s">
        <v>236</v>
      </c>
      <c r="F218" s="27" t="s">
        <v>34</v>
      </c>
      <c r="G218" s="76">
        <f>G219</f>
        <v>7500</v>
      </c>
      <c r="H218" s="174">
        <f>H219</f>
        <v>0</v>
      </c>
      <c r="I218" s="185">
        <f t="shared" si="13"/>
        <v>0</v>
      </c>
    </row>
    <row r="219" spans="1:9" s="20" customFormat="1" ht="25.5">
      <c r="A219" s="28" t="s">
        <v>35</v>
      </c>
      <c r="B219" s="27" t="s">
        <v>290</v>
      </c>
      <c r="C219" s="27" t="s">
        <v>308</v>
      </c>
      <c r="D219" s="27" t="s">
        <v>291</v>
      </c>
      <c r="E219" s="68" t="s">
        <v>236</v>
      </c>
      <c r="F219" s="27" t="s">
        <v>36</v>
      </c>
      <c r="G219" s="76">
        <f>15500-8000</f>
        <v>7500</v>
      </c>
      <c r="H219" s="174">
        <v>0</v>
      </c>
      <c r="I219" s="185">
        <f t="shared" si="13"/>
        <v>0</v>
      </c>
    </row>
    <row r="220" spans="1:9" s="20" customFormat="1" ht="38.25">
      <c r="A220" s="77" t="s">
        <v>237</v>
      </c>
      <c r="B220" s="27" t="s">
        <v>290</v>
      </c>
      <c r="C220" s="27" t="s">
        <v>308</v>
      </c>
      <c r="D220" s="27" t="s">
        <v>291</v>
      </c>
      <c r="E220" s="68" t="s">
        <v>238</v>
      </c>
      <c r="F220" s="27"/>
      <c r="G220" s="76">
        <f>G221</f>
        <v>80</v>
      </c>
      <c r="H220" s="174">
        <f>H221</f>
        <v>78.3</v>
      </c>
      <c r="I220" s="185">
        <f t="shared" si="13"/>
        <v>0.97875</v>
      </c>
    </row>
    <row r="221" spans="1:9" s="20" customFormat="1" ht="25.5">
      <c r="A221" s="77" t="s">
        <v>239</v>
      </c>
      <c r="B221" s="27" t="s">
        <v>290</v>
      </c>
      <c r="C221" s="27" t="s">
        <v>308</v>
      </c>
      <c r="D221" s="27" t="s">
        <v>291</v>
      </c>
      <c r="E221" s="68" t="s">
        <v>238</v>
      </c>
      <c r="F221" s="114"/>
      <c r="G221" s="76">
        <f>G223</f>
        <v>80</v>
      </c>
      <c r="H221" s="174">
        <f>H223</f>
        <v>78.3</v>
      </c>
      <c r="I221" s="185">
        <f t="shared" si="13"/>
        <v>0.97875</v>
      </c>
    </row>
    <row r="222" spans="1:9" s="20" customFormat="1" ht="25.5">
      <c r="A222" s="77" t="s">
        <v>33</v>
      </c>
      <c r="B222" s="27" t="s">
        <v>290</v>
      </c>
      <c r="C222" s="27" t="s">
        <v>308</v>
      </c>
      <c r="D222" s="27" t="s">
        <v>291</v>
      </c>
      <c r="E222" s="68" t="s">
        <v>238</v>
      </c>
      <c r="F222" s="114" t="s">
        <v>34</v>
      </c>
      <c r="G222" s="76">
        <f>G223</f>
        <v>80</v>
      </c>
      <c r="H222" s="174">
        <f>H223</f>
        <v>78.3</v>
      </c>
      <c r="I222" s="185">
        <f t="shared" si="13"/>
        <v>0.97875</v>
      </c>
    </row>
    <row r="223" spans="1:9" s="20" customFormat="1" ht="25.5">
      <c r="A223" s="28" t="s">
        <v>35</v>
      </c>
      <c r="B223" s="27" t="s">
        <v>290</v>
      </c>
      <c r="C223" s="27" t="s">
        <v>308</v>
      </c>
      <c r="D223" s="27" t="s">
        <v>291</v>
      </c>
      <c r="E223" s="68" t="s">
        <v>238</v>
      </c>
      <c r="F223" s="114" t="s">
        <v>36</v>
      </c>
      <c r="G223" s="76">
        <f>450-420+50</f>
        <v>80</v>
      </c>
      <c r="H223" s="174">
        <v>78.3</v>
      </c>
      <c r="I223" s="185">
        <f t="shared" si="13"/>
        <v>0.97875</v>
      </c>
    </row>
    <row r="224" spans="1:9" s="20" customFormat="1" ht="13.5">
      <c r="A224" s="73" t="s">
        <v>240</v>
      </c>
      <c r="B224" s="27" t="s">
        <v>290</v>
      </c>
      <c r="C224" s="27" t="s">
        <v>302</v>
      </c>
      <c r="D224" s="114" t="s">
        <v>291</v>
      </c>
      <c r="E224" s="111"/>
      <c r="F224" s="111"/>
      <c r="G224" s="93">
        <f aca="true" t="shared" si="16" ref="G224:H226">G225</f>
        <v>850.01</v>
      </c>
      <c r="H224" s="177">
        <f t="shared" si="16"/>
        <v>835.97126</v>
      </c>
      <c r="I224" s="185">
        <f t="shared" si="13"/>
        <v>0.9834840295996519</v>
      </c>
    </row>
    <row r="225" spans="1:9" s="20" customFormat="1" ht="12.75">
      <c r="A225" s="74" t="s">
        <v>243</v>
      </c>
      <c r="B225" s="27" t="s">
        <v>290</v>
      </c>
      <c r="C225" s="27" t="s">
        <v>302</v>
      </c>
      <c r="D225" s="114" t="s">
        <v>291</v>
      </c>
      <c r="E225" s="27"/>
      <c r="F225" s="114"/>
      <c r="G225" s="119">
        <f t="shared" si="16"/>
        <v>850.01</v>
      </c>
      <c r="H225" s="182">
        <f t="shared" si="16"/>
        <v>835.97126</v>
      </c>
      <c r="I225" s="185">
        <f t="shared" si="13"/>
        <v>0.9834840295996519</v>
      </c>
    </row>
    <row r="226" spans="1:9" s="20" customFormat="1" ht="25.5">
      <c r="A226" s="70" t="s">
        <v>245</v>
      </c>
      <c r="B226" s="27" t="s">
        <v>290</v>
      </c>
      <c r="C226" s="27" t="s">
        <v>302</v>
      </c>
      <c r="D226" s="114" t="s">
        <v>291</v>
      </c>
      <c r="E226" s="71" t="s">
        <v>244</v>
      </c>
      <c r="F226" s="114"/>
      <c r="G226" s="119">
        <f t="shared" si="16"/>
        <v>850.01</v>
      </c>
      <c r="H226" s="182">
        <f t="shared" si="16"/>
        <v>835.97126</v>
      </c>
      <c r="I226" s="185">
        <f t="shared" si="13"/>
        <v>0.9834840295996519</v>
      </c>
    </row>
    <row r="227" spans="1:9" s="20" customFormat="1" ht="38.25">
      <c r="A227" s="70" t="s">
        <v>246</v>
      </c>
      <c r="B227" s="27" t="s">
        <v>290</v>
      </c>
      <c r="C227" s="27" t="s">
        <v>302</v>
      </c>
      <c r="D227" s="114" t="s">
        <v>291</v>
      </c>
      <c r="E227" s="71" t="s">
        <v>244</v>
      </c>
      <c r="F227" s="114"/>
      <c r="G227" s="119">
        <f>G229</f>
        <v>850.01</v>
      </c>
      <c r="H227" s="182">
        <f>H229</f>
        <v>835.97126</v>
      </c>
      <c r="I227" s="185">
        <f t="shared" si="13"/>
        <v>0.9834840295996519</v>
      </c>
    </row>
    <row r="228" spans="1:9" s="20" customFormat="1" ht="25.5">
      <c r="A228" s="70" t="s">
        <v>248</v>
      </c>
      <c r="B228" s="27" t="s">
        <v>290</v>
      </c>
      <c r="C228" s="27" t="s">
        <v>302</v>
      </c>
      <c r="D228" s="114" t="s">
        <v>291</v>
      </c>
      <c r="E228" s="71" t="s">
        <v>247</v>
      </c>
      <c r="F228" s="27" t="s">
        <v>249</v>
      </c>
      <c r="G228" s="119">
        <f>G229</f>
        <v>850.01</v>
      </c>
      <c r="H228" s="182">
        <f>H229</f>
        <v>835.97126</v>
      </c>
      <c r="I228" s="185">
        <f t="shared" si="13"/>
        <v>0.9834840295996519</v>
      </c>
    </row>
    <row r="229" spans="1:9" s="20" customFormat="1" ht="25.5">
      <c r="A229" s="70" t="s">
        <v>250</v>
      </c>
      <c r="B229" s="27" t="s">
        <v>290</v>
      </c>
      <c r="C229" s="27" t="s">
        <v>302</v>
      </c>
      <c r="D229" s="114" t="s">
        <v>291</v>
      </c>
      <c r="E229" s="71" t="s">
        <v>247</v>
      </c>
      <c r="F229" s="27" t="s">
        <v>251</v>
      </c>
      <c r="G229" s="119">
        <f>710+70+70.01</f>
        <v>850.01</v>
      </c>
      <c r="H229" s="182">
        <v>835.97126</v>
      </c>
      <c r="I229" s="185">
        <f t="shared" si="13"/>
        <v>0.9834840295996519</v>
      </c>
    </row>
    <row r="230" spans="1:9" s="20" customFormat="1" ht="13.5">
      <c r="A230" s="72" t="s">
        <v>252</v>
      </c>
      <c r="B230" s="27" t="s">
        <v>290</v>
      </c>
      <c r="C230" s="27" t="s">
        <v>295</v>
      </c>
      <c r="D230" s="114"/>
      <c r="E230" s="19"/>
      <c r="F230" s="111"/>
      <c r="G230" s="93">
        <f>G231</f>
        <v>99472.528</v>
      </c>
      <c r="H230" s="177">
        <f>H231</f>
        <v>94051.74448000001</v>
      </c>
      <c r="I230" s="185">
        <f t="shared" si="13"/>
        <v>0.945504717443192</v>
      </c>
    </row>
    <row r="231" spans="1:9" s="20" customFormat="1" ht="38.25">
      <c r="A231" s="28" t="s">
        <v>255</v>
      </c>
      <c r="B231" s="27" t="s">
        <v>290</v>
      </c>
      <c r="C231" s="27" t="s">
        <v>295</v>
      </c>
      <c r="D231" s="114" t="s">
        <v>309</v>
      </c>
      <c r="E231" s="71" t="s">
        <v>256</v>
      </c>
      <c r="F231" s="27"/>
      <c r="G231" s="95">
        <f>G232+G236</f>
        <v>99472.528</v>
      </c>
      <c r="H231" s="180">
        <f>H232+H236</f>
        <v>94051.74448000001</v>
      </c>
      <c r="I231" s="185">
        <f t="shared" si="13"/>
        <v>0.945504717443192</v>
      </c>
    </row>
    <row r="232" spans="1:9" s="20" customFormat="1" ht="12.75">
      <c r="A232" s="99" t="s">
        <v>254</v>
      </c>
      <c r="B232" s="27"/>
      <c r="C232" s="27"/>
      <c r="D232" s="114"/>
      <c r="E232" s="71"/>
      <c r="F232" s="27"/>
      <c r="G232" s="95">
        <f aca="true" t="shared" si="17" ref="G232:H234">G233</f>
        <v>16845.737999999998</v>
      </c>
      <c r="H232" s="180">
        <f t="shared" si="17"/>
        <v>12231.64474</v>
      </c>
      <c r="I232" s="185">
        <f t="shared" si="13"/>
        <v>0.7260972917897691</v>
      </c>
    </row>
    <row r="233" spans="1:9" s="20" customFormat="1" ht="25.5">
      <c r="A233" s="77" t="s">
        <v>257</v>
      </c>
      <c r="B233" s="27" t="s">
        <v>290</v>
      </c>
      <c r="C233" s="27" t="s">
        <v>295</v>
      </c>
      <c r="D233" s="114" t="s">
        <v>291</v>
      </c>
      <c r="E233" s="71" t="s">
        <v>259</v>
      </c>
      <c r="F233" s="27"/>
      <c r="G233" s="76">
        <f t="shared" si="17"/>
        <v>16845.737999999998</v>
      </c>
      <c r="H233" s="174">
        <f t="shared" si="17"/>
        <v>12231.64474</v>
      </c>
      <c r="I233" s="185">
        <f t="shared" si="13"/>
        <v>0.7260972917897691</v>
      </c>
    </row>
    <row r="234" spans="1:14" ht="25.5">
      <c r="A234" s="77" t="s">
        <v>260</v>
      </c>
      <c r="B234" s="27" t="s">
        <v>290</v>
      </c>
      <c r="C234" s="27" t="s">
        <v>295</v>
      </c>
      <c r="D234" s="114" t="s">
        <v>291</v>
      </c>
      <c r="E234" s="71" t="s">
        <v>259</v>
      </c>
      <c r="F234" s="27" t="s">
        <v>188</v>
      </c>
      <c r="G234" s="76">
        <f t="shared" si="17"/>
        <v>16845.737999999998</v>
      </c>
      <c r="H234" s="174">
        <f t="shared" si="17"/>
        <v>12231.64474</v>
      </c>
      <c r="I234" s="185">
        <f t="shared" si="13"/>
        <v>0.7260972917897691</v>
      </c>
      <c r="N234" s="52"/>
    </row>
    <row r="235" spans="1:14" ht="38.25">
      <c r="A235" s="77" t="s">
        <v>187</v>
      </c>
      <c r="B235" s="27" t="s">
        <v>290</v>
      </c>
      <c r="C235" s="27" t="s">
        <v>295</v>
      </c>
      <c r="D235" s="114" t="s">
        <v>291</v>
      </c>
      <c r="E235" s="71" t="s">
        <v>259</v>
      </c>
      <c r="F235" s="114" t="s">
        <v>190</v>
      </c>
      <c r="G235" s="76">
        <f>15035.6+1037.3+172.838+300+300</f>
        <v>16845.737999999998</v>
      </c>
      <c r="H235" s="174">
        <v>12231.64474</v>
      </c>
      <c r="I235" s="185">
        <f t="shared" si="13"/>
        <v>0.7260972917897691</v>
      </c>
      <c r="N235" s="52"/>
    </row>
    <row r="236" spans="1:14" ht="12.75">
      <c r="A236" s="120" t="s">
        <v>261</v>
      </c>
      <c r="B236" s="27" t="s">
        <v>290</v>
      </c>
      <c r="C236" s="27" t="s">
        <v>295</v>
      </c>
      <c r="D236" s="114" t="s">
        <v>292</v>
      </c>
      <c r="E236" s="71"/>
      <c r="F236" s="114"/>
      <c r="G236" s="76">
        <f>G237+G242</f>
        <v>82626.79000000001</v>
      </c>
      <c r="H236" s="174">
        <f>H237+H242</f>
        <v>81820.09974</v>
      </c>
      <c r="I236" s="185">
        <f t="shared" si="13"/>
        <v>0.9902369405854928</v>
      </c>
      <c r="N236" s="52"/>
    </row>
    <row r="237" spans="1:14" ht="25.5">
      <c r="A237" s="77" t="s">
        <v>263</v>
      </c>
      <c r="B237" s="27" t="s">
        <v>290</v>
      </c>
      <c r="C237" s="27" t="s">
        <v>295</v>
      </c>
      <c r="D237" s="114" t="s">
        <v>292</v>
      </c>
      <c r="E237" s="71" t="s">
        <v>256</v>
      </c>
      <c r="F237" s="114"/>
      <c r="G237" s="76">
        <f>G239</f>
        <v>66330.1</v>
      </c>
      <c r="H237" s="174">
        <f>H239</f>
        <v>65523.5475</v>
      </c>
      <c r="I237" s="185">
        <f t="shared" si="13"/>
        <v>0.9878403243776204</v>
      </c>
      <c r="N237" s="52"/>
    </row>
    <row r="238" spans="1:14" ht="12.75">
      <c r="A238" s="77" t="s">
        <v>264</v>
      </c>
      <c r="B238" s="27" t="s">
        <v>290</v>
      </c>
      <c r="C238" s="27" t="s">
        <v>295</v>
      </c>
      <c r="D238" s="114" t="s">
        <v>292</v>
      </c>
      <c r="E238" s="71" t="s">
        <v>265</v>
      </c>
      <c r="F238" s="68"/>
      <c r="G238" s="76">
        <f aca="true" t="shared" si="18" ref="G238:H240">G239</f>
        <v>66330.1</v>
      </c>
      <c r="H238" s="174">
        <f t="shared" si="18"/>
        <v>65523.5475</v>
      </c>
      <c r="I238" s="185">
        <f t="shared" si="13"/>
        <v>0.9878403243776204</v>
      </c>
      <c r="N238" s="52"/>
    </row>
    <row r="239" spans="1:14" ht="38.25">
      <c r="A239" s="77" t="s">
        <v>266</v>
      </c>
      <c r="B239" s="27" t="s">
        <v>290</v>
      </c>
      <c r="C239" s="27" t="s">
        <v>295</v>
      </c>
      <c r="D239" s="114" t="s">
        <v>292</v>
      </c>
      <c r="E239" s="71" t="s">
        <v>267</v>
      </c>
      <c r="F239" s="68"/>
      <c r="G239" s="76">
        <f t="shared" si="18"/>
        <v>66330.1</v>
      </c>
      <c r="H239" s="174">
        <f t="shared" si="18"/>
        <v>65523.5475</v>
      </c>
      <c r="I239" s="185">
        <f t="shared" si="13"/>
        <v>0.9878403243776204</v>
      </c>
      <c r="N239" s="52"/>
    </row>
    <row r="240" spans="1:14" ht="25.5">
      <c r="A240" s="28" t="s">
        <v>33</v>
      </c>
      <c r="B240" s="27" t="s">
        <v>290</v>
      </c>
      <c r="C240" s="27" t="s">
        <v>295</v>
      </c>
      <c r="D240" s="114" t="s">
        <v>292</v>
      </c>
      <c r="E240" s="71" t="s">
        <v>267</v>
      </c>
      <c r="F240" s="68" t="s">
        <v>34</v>
      </c>
      <c r="G240" s="76">
        <f t="shared" si="18"/>
        <v>66330.1</v>
      </c>
      <c r="H240" s="174">
        <f t="shared" si="18"/>
        <v>65523.5475</v>
      </c>
      <c r="I240" s="185">
        <f t="shared" si="13"/>
        <v>0.9878403243776204</v>
      </c>
      <c r="N240" s="52"/>
    </row>
    <row r="241" spans="1:14" ht="25.5">
      <c r="A241" s="28" t="s">
        <v>35</v>
      </c>
      <c r="B241" s="27" t="s">
        <v>290</v>
      </c>
      <c r="C241" s="27" t="s">
        <v>295</v>
      </c>
      <c r="D241" s="114" t="s">
        <v>292</v>
      </c>
      <c r="E241" s="71" t="s">
        <v>267</v>
      </c>
      <c r="F241" s="68" t="s">
        <v>36</v>
      </c>
      <c r="G241" s="76">
        <f>53333.3+0.1+12996.7</f>
        <v>66330.1</v>
      </c>
      <c r="H241" s="174">
        <v>65523.5475</v>
      </c>
      <c r="I241" s="185">
        <f t="shared" si="13"/>
        <v>0.9878403243776204</v>
      </c>
      <c r="N241" s="52"/>
    </row>
    <row r="242" spans="1:14" ht="25.5">
      <c r="A242" s="28" t="s">
        <v>268</v>
      </c>
      <c r="B242" s="27" t="s">
        <v>290</v>
      </c>
      <c r="C242" s="27" t="s">
        <v>295</v>
      </c>
      <c r="D242" s="114" t="s">
        <v>292</v>
      </c>
      <c r="E242" s="71" t="s">
        <v>269</v>
      </c>
      <c r="F242" s="68"/>
      <c r="G242" s="76">
        <f>G243</f>
        <v>16296.69</v>
      </c>
      <c r="H242" s="174">
        <f>H243</f>
        <v>16296.55224</v>
      </c>
      <c r="I242" s="185">
        <f t="shared" si="13"/>
        <v>0.9999915467496774</v>
      </c>
      <c r="N242" s="52"/>
    </row>
    <row r="243" spans="1:14" ht="25.5">
      <c r="A243" s="28" t="s">
        <v>33</v>
      </c>
      <c r="B243" s="27" t="s">
        <v>290</v>
      </c>
      <c r="C243" s="27" t="s">
        <v>295</v>
      </c>
      <c r="D243" s="114" t="s">
        <v>292</v>
      </c>
      <c r="E243" s="71" t="s">
        <v>269</v>
      </c>
      <c r="F243" s="68" t="s">
        <v>34</v>
      </c>
      <c r="G243" s="76">
        <f>G244</f>
        <v>16296.69</v>
      </c>
      <c r="H243" s="174">
        <f>H244</f>
        <v>16296.55224</v>
      </c>
      <c r="I243" s="185">
        <f t="shared" si="13"/>
        <v>0.9999915467496774</v>
      </c>
      <c r="N243" s="52"/>
    </row>
    <row r="244" spans="1:14" ht="25.5">
      <c r="A244" s="28" t="s">
        <v>35</v>
      </c>
      <c r="B244" s="27" t="s">
        <v>290</v>
      </c>
      <c r="C244" s="27" t="s">
        <v>295</v>
      </c>
      <c r="D244" s="114" t="s">
        <v>292</v>
      </c>
      <c r="E244" s="71" t="s">
        <v>269</v>
      </c>
      <c r="F244" s="68" t="s">
        <v>36</v>
      </c>
      <c r="G244" s="76">
        <f>14964.69+1332</f>
        <v>16296.69</v>
      </c>
      <c r="H244" s="174">
        <v>16296.55224</v>
      </c>
      <c r="I244" s="185">
        <f t="shared" si="13"/>
        <v>0.9999915467496774</v>
      </c>
      <c r="N244" s="52"/>
    </row>
    <row r="245" spans="1:9" ht="13.5">
      <c r="A245" s="72" t="s">
        <v>270</v>
      </c>
      <c r="B245" s="27" t="s">
        <v>290</v>
      </c>
      <c r="C245" s="27" t="s">
        <v>303</v>
      </c>
      <c r="D245" s="114"/>
      <c r="E245" s="111"/>
      <c r="F245" s="111"/>
      <c r="G245" s="93">
        <f aca="true" t="shared" si="19" ref="G245:H250">G246</f>
        <v>1478</v>
      </c>
      <c r="H245" s="177">
        <f t="shared" si="19"/>
        <v>947.26</v>
      </c>
      <c r="I245" s="185">
        <f t="shared" si="13"/>
        <v>0.6409066305818674</v>
      </c>
    </row>
    <row r="246" spans="1:9" ht="13.5">
      <c r="A246" s="97" t="s">
        <v>76</v>
      </c>
      <c r="B246" s="27" t="s">
        <v>290</v>
      </c>
      <c r="C246" s="27" t="s">
        <v>303</v>
      </c>
      <c r="D246" s="114" t="s">
        <v>292</v>
      </c>
      <c r="E246" s="71" t="s">
        <v>244</v>
      </c>
      <c r="F246" s="111"/>
      <c r="G246" s="95">
        <f t="shared" si="19"/>
        <v>1478</v>
      </c>
      <c r="H246" s="180">
        <f t="shared" si="19"/>
        <v>947.26</v>
      </c>
      <c r="I246" s="185">
        <f t="shared" si="13"/>
        <v>0.6409066305818674</v>
      </c>
    </row>
    <row r="247" spans="1:9" ht="20.25" customHeight="1">
      <c r="A247" s="74" t="s">
        <v>273</v>
      </c>
      <c r="B247" s="27" t="s">
        <v>290</v>
      </c>
      <c r="C247" s="27" t="s">
        <v>303</v>
      </c>
      <c r="D247" s="114" t="s">
        <v>292</v>
      </c>
      <c r="E247" s="71" t="s">
        <v>244</v>
      </c>
      <c r="F247" s="114"/>
      <c r="G247" s="76">
        <f t="shared" si="19"/>
        <v>1478</v>
      </c>
      <c r="H247" s="174">
        <f t="shared" si="19"/>
        <v>947.26</v>
      </c>
      <c r="I247" s="185">
        <f t="shared" si="13"/>
        <v>0.6409066305818674</v>
      </c>
    </row>
    <row r="248" spans="1:9" ht="25.5">
      <c r="A248" s="40" t="s">
        <v>274</v>
      </c>
      <c r="B248" s="27" t="s">
        <v>290</v>
      </c>
      <c r="C248" s="27" t="s">
        <v>303</v>
      </c>
      <c r="D248" s="114" t="s">
        <v>292</v>
      </c>
      <c r="E248" s="71" t="s">
        <v>275</v>
      </c>
      <c r="F248" s="114"/>
      <c r="G248" s="76">
        <f t="shared" si="19"/>
        <v>1478</v>
      </c>
      <c r="H248" s="174">
        <f t="shared" si="19"/>
        <v>947.26</v>
      </c>
      <c r="I248" s="185">
        <f t="shared" si="13"/>
        <v>0.6409066305818674</v>
      </c>
    </row>
    <row r="249" spans="1:9" ht="38.25">
      <c r="A249" s="40" t="s">
        <v>276</v>
      </c>
      <c r="B249" s="27" t="s">
        <v>290</v>
      </c>
      <c r="C249" s="27" t="s">
        <v>303</v>
      </c>
      <c r="D249" s="114" t="s">
        <v>292</v>
      </c>
      <c r="E249" s="71" t="s">
        <v>275</v>
      </c>
      <c r="F249" s="114"/>
      <c r="G249" s="76">
        <f t="shared" si="19"/>
        <v>1478</v>
      </c>
      <c r="H249" s="174">
        <f t="shared" si="19"/>
        <v>947.26</v>
      </c>
      <c r="I249" s="185">
        <f t="shared" si="13"/>
        <v>0.6409066305818674</v>
      </c>
    </row>
    <row r="250" spans="1:9" ht="25.5">
      <c r="A250" s="28" t="s">
        <v>33</v>
      </c>
      <c r="B250" s="27" t="s">
        <v>290</v>
      </c>
      <c r="C250" s="27" t="s">
        <v>303</v>
      </c>
      <c r="D250" s="114" t="s">
        <v>292</v>
      </c>
      <c r="E250" s="71" t="s">
        <v>275</v>
      </c>
      <c r="F250" s="114" t="s">
        <v>34</v>
      </c>
      <c r="G250" s="76">
        <f t="shared" si="19"/>
        <v>1478</v>
      </c>
      <c r="H250" s="174">
        <f t="shared" si="19"/>
        <v>947.26</v>
      </c>
      <c r="I250" s="185">
        <f t="shared" si="13"/>
        <v>0.6409066305818674</v>
      </c>
    </row>
    <row r="251" spans="1:9" ht="25.5">
      <c r="A251" s="28" t="s">
        <v>35</v>
      </c>
      <c r="B251" s="27" t="s">
        <v>290</v>
      </c>
      <c r="C251" s="27" t="s">
        <v>303</v>
      </c>
      <c r="D251" s="114" t="s">
        <v>292</v>
      </c>
      <c r="E251" s="71" t="s">
        <v>275</v>
      </c>
      <c r="F251" s="114" t="s">
        <v>36</v>
      </c>
      <c r="G251" s="76">
        <f>1000+380+98</f>
        <v>1478</v>
      </c>
      <c r="H251" s="174">
        <v>947.26</v>
      </c>
      <c r="I251" s="185">
        <f t="shared" si="13"/>
        <v>0.6409066305818674</v>
      </c>
    </row>
    <row r="252" spans="1:9" ht="27" customHeight="1">
      <c r="A252" s="60" t="s">
        <v>277</v>
      </c>
      <c r="B252" s="27" t="s">
        <v>290</v>
      </c>
      <c r="C252" s="27" t="s">
        <v>296</v>
      </c>
      <c r="D252" s="27" t="s">
        <v>291</v>
      </c>
      <c r="E252" s="68" t="s">
        <v>279</v>
      </c>
      <c r="F252" s="27"/>
      <c r="G252" s="76">
        <f aca="true" t="shared" si="20" ref="G252:H254">G253</f>
        <v>2240</v>
      </c>
      <c r="H252" s="174">
        <f t="shared" si="20"/>
        <v>2173.48551</v>
      </c>
      <c r="I252" s="185">
        <f t="shared" si="13"/>
        <v>0.97030603125</v>
      </c>
    </row>
    <row r="253" spans="1:9" ht="21.75" customHeight="1">
      <c r="A253" s="70" t="s">
        <v>280</v>
      </c>
      <c r="B253" s="27" t="s">
        <v>290</v>
      </c>
      <c r="C253" s="27" t="s">
        <v>296</v>
      </c>
      <c r="D253" s="27" t="s">
        <v>291</v>
      </c>
      <c r="E253" s="68" t="s">
        <v>279</v>
      </c>
      <c r="F253" s="27"/>
      <c r="G253" s="76">
        <f t="shared" si="20"/>
        <v>2240</v>
      </c>
      <c r="H253" s="174">
        <f t="shared" si="20"/>
        <v>2173.48551</v>
      </c>
      <c r="I253" s="185">
        <f t="shared" si="13"/>
        <v>0.97030603125</v>
      </c>
    </row>
    <row r="254" spans="1:9" ht="12.75">
      <c r="A254" s="70" t="s">
        <v>281</v>
      </c>
      <c r="B254" s="27" t="s">
        <v>290</v>
      </c>
      <c r="C254" s="27" t="s">
        <v>296</v>
      </c>
      <c r="D254" s="27" t="s">
        <v>291</v>
      </c>
      <c r="E254" s="68" t="s">
        <v>279</v>
      </c>
      <c r="F254" s="27" t="s">
        <v>282</v>
      </c>
      <c r="G254" s="76">
        <f t="shared" si="20"/>
        <v>2240</v>
      </c>
      <c r="H254" s="174">
        <f t="shared" si="20"/>
        <v>2173.48551</v>
      </c>
      <c r="I254" s="185">
        <f t="shared" si="13"/>
        <v>0.97030603125</v>
      </c>
    </row>
    <row r="255" spans="1:9" ht="12.75">
      <c r="A255" s="104" t="s">
        <v>283</v>
      </c>
      <c r="B255" s="27" t="s">
        <v>290</v>
      </c>
      <c r="C255" s="27" t="s">
        <v>296</v>
      </c>
      <c r="D255" s="27" t="s">
        <v>291</v>
      </c>
      <c r="E255" s="68" t="s">
        <v>279</v>
      </c>
      <c r="F255" s="27" t="s">
        <v>284</v>
      </c>
      <c r="G255" s="76">
        <f>990+800+450</f>
        <v>2240</v>
      </c>
      <c r="H255" s="174">
        <v>2173.48551</v>
      </c>
      <c r="I255" s="185">
        <f t="shared" si="13"/>
        <v>0.97030603125</v>
      </c>
    </row>
    <row r="256" spans="1:9" ht="40.5">
      <c r="A256" s="60" t="s">
        <v>310</v>
      </c>
      <c r="B256" s="29" t="s">
        <v>311</v>
      </c>
      <c r="C256" s="27" t="s">
        <v>291</v>
      </c>
      <c r="D256" s="27" t="s">
        <v>297</v>
      </c>
      <c r="E256" s="50"/>
      <c r="F256" s="50"/>
      <c r="G256" s="100">
        <f>G257</f>
        <v>5132</v>
      </c>
      <c r="H256" s="173">
        <f>H257</f>
        <v>3988.9442299999996</v>
      </c>
      <c r="I256" s="185">
        <f t="shared" si="13"/>
        <v>0.7772689458300857</v>
      </c>
    </row>
    <row r="257" spans="1:9" ht="54">
      <c r="A257" s="60" t="s">
        <v>23</v>
      </c>
      <c r="B257" s="29" t="s">
        <v>311</v>
      </c>
      <c r="C257" s="27" t="s">
        <v>291</v>
      </c>
      <c r="D257" s="27" t="s">
        <v>297</v>
      </c>
      <c r="E257" s="61"/>
      <c r="F257" s="29"/>
      <c r="G257" s="76">
        <f>G258</f>
        <v>5132</v>
      </c>
      <c r="H257" s="174">
        <f>H258</f>
        <v>3988.9442299999996</v>
      </c>
      <c r="I257" s="185">
        <f t="shared" si="13"/>
        <v>0.7772689458300857</v>
      </c>
    </row>
    <row r="258" spans="1:9" ht="52.5" customHeight="1">
      <c r="A258" s="67" t="s">
        <v>15</v>
      </c>
      <c r="B258" s="27" t="s">
        <v>311</v>
      </c>
      <c r="C258" s="27" t="s">
        <v>291</v>
      </c>
      <c r="D258" s="27" t="s">
        <v>297</v>
      </c>
      <c r="E258" s="68" t="s">
        <v>16</v>
      </c>
      <c r="F258" s="114"/>
      <c r="G258" s="119">
        <f>G262+G259</f>
        <v>5132</v>
      </c>
      <c r="H258" s="182">
        <f>H262+H259</f>
        <v>3988.9442299999996</v>
      </c>
      <c r="I258" s="185">
        <f t="shared" si="13"/>
        <v>0.7772689458300857</v>
      </c>
    </row>
    <row r="259" spans="1:9" ht="25.5">
      <c r="A259" s="70" t="s">
        <v>25</v>
      </c>
      <c r="B259" s="27" t="s">
        <v>311</v>
      </c>
      <c r="C259" s="27" t="s">
        <v>291</v>
      </c>
      <c r="D259" s="27" t="s">
        <v>297</v>
      </c>
      <c r="E259" s="68" t="s">
        <v>26</v>
      </c>
      <c r="F259" s="114"/>
      <c r="G259" s="119">
        <f>G261</f>
        <v>1871</v>
      </c>
      <c r="H259" s="182">
        <f>H261</f>
        <v>1592.404</v>
      </c>
      <c r="I259" s="185">
        <f t="shared" si="13"/>
        <v>0.8510978086584714</v>
      </c>
    </row>
    <row r="260" spans="1:9" ht="76.5">
      <c r="A260" s="67" t="s">
        <v>19</v>
      </c>
      <c r="B260" s="27" t="s">
        <v>311</v>
      </c>
      <c r="C260" s="27" t="s">
        <v>291</v>
      </c>
      <c r="D260" s="27" t="s">
        <v>297</v>
      </c>
      <c r="E260" s="68" t="s">
        <v>26</v>
      </c>
      <c r="F260" s="114" t="s">
        <v>20</v>
      </c>
      <c r="G260" s="119">
        <f>G261</f>
        <v>1871</v>
      </c>
      <c r="H260" s="182">
        <f>H261</f>
        <v>1592.404</v>
      </c>
      <c r="I260" s="185">
        <f t="shared" si="13"/>
        <v>0.8510978086584714</v>
      </c>
    </row>
    <row r="261" spans="1:9" ht="21.75" customHeight="1">
      <c r="A261" s="67" t="s">
        <v>21</v>
      </c>
      <c r="B261" s="27" t="s">
        <v>311</v>
      </c>
      <c r="C261" s="27" t="s">
        <v>291</v>
      </c>
      <c r="D261" s="27" t="s">
        <v>297</v>
      </c>
      <c r="E261" s="68" t="s">
        <v>26</v>
      </c>
      <c r="F261" s="114" t="s">
        <v>22</v>
      </c>
      <c r="G261" s="119">
        <f>1340+761-230</f>
        <v>1871</v>
      </c>
      <c r="H261" s="182">
        <v>1592.404</v>
      </c>
      <c r="I261" s="185">
        <f t="shared" si="13"/>
        <v>0.8510978086584714</v>
      </c>
    </row>
    <row r="262" spans="1:9" ht="12.75">
      <c r="A262" s="67" t="s">
        <v>27</v>
      </c>
      <c r="B262" s="27" t="s">
        <v>311</v>
      </c>
      <c r="C262" s="27" t="s">
        <v>291</v>
      </c>
      <c r="D262" s="27" t="s">
        <v>297</v>
      </c>
      <c r="E262" s="71" t="s">
        <v>28</v>
      </c>
      <c r="F262" s="27"/>
      <c r="G262" s="76">
        <f>G266+G263</f>
        <v>3261</v>
      </c>
      <c r="H262" s="174">
        <f>H266+H263</f>
        <v>2396.5402299999996</v>
      </c>
      <c r="I262" s="185">
        <f t="shared" si="13"/>
        <v>0.7349096074823672</v>
      </c>
    </row>
    <row r="263" spans="1:9" ht="25.5">
      <c r="A263" s="67" t="s">
        <v>29</v>
      </c>
      <c r="B263" s="27" t="s">
        <v>311</v>
      </c>
      <c r="C263" s="27" t="s">
        <v>291</v>
      </c>
      <c r="D263" s="27" t="s">
        <v>297</v>
      </c>
      <c r="E263" s="71" t="s">
        <v>30</v>
      </c>
      <c r="F263" s="27"/>
      <c r="G263" s="76">
        <f>G264</f>
        <v>1251</v>
      </c>
      <c r="H263" s="174">
        <f>H264</f>
        <v>1178.45957</v>
      </c>
      <c r="I263" s="185">
        <f t="shared" si="13"/>
        <v>0.9420140447641886</v>
      </c>
    </row>
    <row r="264" spans="1:9" ht="76.5">
      <c r="A264" s="67" t="s">
        <v>19</v>
      </c>
      <c r="B264" s="27" t="s">
        <v>311</v>
      </c>
      <c r="C264" s="27" t="s">
        <v>291</v>
      </c>
      <c r="D264" s="27" t="s">
        <v>297</v>
      </c>
      <c r="E264" s="71" t="s">
        <v>30</v>
      </c>
      <c r="F264" s="27" t="s">
        <v>20</v>
      </c>
      <c r="G264" s="76">
        <f>G265</f>
        <v>1251</v>
      </c>
      <c r="H264" s="174">
        <f>H265</f>
        <v>1178.45957</v>
      </c>
      <c r="I264" s="185">
        <f t="shared" si="13"/>
        <v>0.9420140447641886</v>
      </c>
    </row>
    <row r="265" spans="1:9" ht="25.5">
      <c r="A265" s="67" t="s">
        <v>21</v>
      </c>
      <c r="B265" s="27" t="s">
        <v>311</v>
      </c>
      <c r="C265" s="27" t="s">
        <v>291</v>
      </c>
      <c r="D265" s="27" t="s">
        <v>297</v>
      </c>
      <c r="E265" s="71" t="s">
        <v>30</v>
      </c>
      <c r="F265" s="27" t="s">
        <v>22</v>
      </c>
      <c r="G265" s="76">
        <f>750+271+230</f>
        <v>1251</v>
      </c>
      <c r="H265" s="174">
        <v>1178.45957</v>
      </c>
      <c r="I265" s="185">
        <f t="shared" si="13"/>
        <v>0.9420140447641886</v>
      </c>
    </row>
    <row r="266" spans="1:9" ht="27" customHeight="1">
      <c r="A266" s="67" t="s">
        <v>31</v>
      </c>
      <c r="B266" s="27" t="s">
        <v>311</v>
      </c>
      <c r="C266" s="27" t="s">
        <v>291</v>
      </c>
      <c r="D266" s="27" t="s">
        <v>297</v>
      </c>
      <c r="E266" s="71" t="s">
        <v>32</v>
      </c>
      <c r="F266" s="27"/>
      <c r="G266" s="76">
        <f>G269+G267</f>
        <v>2010</v>
      </c>
      <c r="H266" s="174">
        <f>H269+H267</f>
        <v>1218.0806599999999</v>
      </c>
      <c r="I266" s="185">
        <f t="shared" si="13"/>
        <v>0.6060102786069651</v>
      </c>
    </row>
    <row r="267" spans="1:9" ht="22.5" customHeight="1">
      <c r="A267" s="67" t="s">
        <v>33</v>
      </c>
      <c r="B267" s="27" t="s">
        <v>311</v>
      </c>
      <c r="C267" s="27" t="s">
        <v>291</v>
      </c>
      <c r="D267" s="27" t="s">
        <v>297</v>
      </c>
      <c r="E267" s="71" t="s">
        <v>32</v>
      </c>
      <c r="F267" s="27" t="s">
        <v>34</v>
      </c>
      <c r="G267" s="76">
        <f>G268</f>
        <v>1995</v>
      </c>
      <c r="H267" s="174">
        <f>H268</f>
        <v>1218.04057</v>
      </c>
      <c r="I267" s="185">
        <f aca="true" t="shared" si="21" ref="I267:I303">H267/G267</f>
        <v>0.6105466516290726</v>
      </c>
    </row>
    <row r="268" spans="1:9" ht="25.5">
      <c r="A268" s="67" t="s">
        <v>35</v>
      </c>
      <c r="B268" s="27" t="s">
        <v>311</v>
      </c>
      <c r="C268" s="27" t="s">
        <v>291</v>
      </c>
      <c r="D268" s="27" t="s">
        <v>297</v>
      </c>
      <c r="E268" s="71" t="s">
        <v>32</v>
      </c>
      <c r="F268" s="27" t="s">
        <v>36</v>
      </c>
      <c r="G268" s="76">
        <v>1995</v>
      </c>
      <c r="H268" s="174">
        <v>1218.04057</v>
      </c>
      <c r="I268" s="185">
        <f t="shared" si="21"/>
        <v>0.6105466516290726</v>
      </c>
    </row>
    <row r="269" spans="1:9" ht="12.75">
      <c r="A269" s="67" t="s">
        <v>37</v>
      </c>
      <c r="B269" s="27" t="s">
        <v>311</v>
      </c>
      <c r="C269" s="27" t="s">
        <v>291</v>
      </c>
      <c r="D269" s="27" t="s">
        <v>297</v>
      </c>
      <c r="E269" s="71" t="s">
        <v>32</v>
      </c>
      <c r="F269" s="27" t="s">
        <v>38</v>
      </c>
      <c r="G269" s="76">
        <f>G270</f>
        <v>15</v>
      </c>
      <c r="H269" s="174">
        <f>H270</f>
        <v>0.04009</v>
      </c>
      <c r="I269" s="185">
        <f t="shared" si="21"/>
        <v>0.0026726666666666665</v>
      </c>
    </row>
    <row r="270" spans="1:9" ht="18" customHeight="1">
      <c r="A270" s="67" t="s">
        <v>39</v>
      </c>
      <c r="B270" s="27" t="s">
        <v>311</v>
      </c>
      <c r="C270" s="27" t="s">
        <v>291</v>
      </c>
      <c r="D270" s="27" t="s">
        <v>297</v>
      </c>
      <c r="E270" s="71" t="s">
        <v>32</v>
      </c>
      <c r="F270" s="27" t="s">
        <v>40</v>
      </c>
      <c r="G270" s="76">
        <f>4+11</f>
        <v>15</v>
      </c>
      <c r="H270" s="174">
        <v>0.04009</v>
      </c>
      <c r="I270" s="185">
        <f t="shared" si="21"/>
        <v>0.0026726666666666665</v>
      </c>
    </row>
    <row r="271" spans="1:9" ht="42" customHeight="1">
      <c r="A271" s="60" t="s">
        <v>312</v>
      </c>
      <c r="B271" s="29" t="s">
        <v>313</v>
      </c>
      <c r="C271" s="27" t="s">
        <v>291</v>
      </c>
      <c r="D271" s="27" t="s">
        <v>314</v>
      </c>
      <c r="E271" s="50"/>
      <c r="F271" s="50"/>
      <c r="G271" s="112">
        <f>G272</f>
        <v>1782</v>
      </c>
      <c r="H271" s="171">
        <f>H272</f>
        <v>1176.40119</v>
      </c>
      <c r="I271" s="185">
        <f t="shared" si="21"/>
        <v>0.6601577946127947</v>
      </c>
    </row>
    <row r="272" spans="1:9" ht="42" customHeight="1">
      <c r="A272" s="121" t="s">
        <v>45</v>
      </c>
      <c r="B272" s="29" t="s">
        <v>313</v>
      </c>
      <c r="C272" s="27" t="s">
        <v>291</v>
      </c>
      <c r="D272" s="27" t="s">
        <v>314</v>
      </c>
      <c r="E272" s="61"/>
      <c r="F272" s="29"/>
      <c r="G272" s="76">
        <f>G273</f>
        <v>1782</v>
      </c>
      <c r="H272" s="174">
        <f>H273</f>
        <v>1176.40119</v>
      </c>
      <c r="I272" s="185">
        <f t="shared" si="21"/>
        <v>0.6601577946127947</v>
      </c>
    </row>
    <row r="273" spans="1:9" ht="39" customHeight="1">
      <c r="A273" s="67" t="s">
        <v>15</v>
      </c>
      <c r="B273" s="27" t="s">
        <v>313</v>
      </c>
      <c r="C273" s="27" t="s">
        <v>291</v>
      </c>
      <c r="D273" s="27" t="s">
        <v>314</v>
      </c>
      <c r="E273" s="68" t="s">
        <v>16</v>
      </c>
      <c r="F273" s="27"/>
      <c r="G273" s="76">
        <f>G274+G280</f>
        <v>1782</v>
      </c>
      <c r="H273" s="174">
        <f>H274+H280</f>
        <v>1176.40119</v>
      </c>
      <c r="I273" s="185">
        <f t="shared" si="21"/>
        <v>0.6601577946127947</v>
      </c>
    </row>
    <row r="274" spans="1:9" ht="12.75">
      <c r="A274" s="70" t="s">
        <v>27</v>
      </c>
      <c r="B274" s="27" t="s">
        <v>313</v>
      </c>
      <c r="C274" s="27" t="s">
        <v>291</v>
      </c>
      <c r="D274" s="27" t="s">
        <v>314</v>
      </c>
      <c r="E274" s="68" t="s">
        <v>28</v>
      </c>
      <c r="F274" s="27"/>
      <c r="G274" s="76">
        <f>G275</f>
        <v>276</v>
      </c>
      <c r="H274" s="174">
        <f>H275</f>
        <v>22.424</v>
      </c>
      <c r="I274" s="185">
        <f t="shared" si="21"/>
        <v>0.0812463768115942</v>
      </c>
    </row>
    <row r="275" spans="1:9" ht="18" customHeight="1">
      <c r="A275" s="67" t="s">
        <v>31</v>
      </c>
      <c r="B275" s="27" t="s">
        <v>313</v>
      </c>
      <c r="C275" s="27" t="s">
        <v>291</v>
      </c>
      <c r="D275" s="27" t="s">
        <v>314</v>
      </c>
      <c r="E275" s="71" t="s">
        <v>32</v>
      </c>
      <c r="F275" s="27"/>
      <c r="G275" s="76">
        <f>G276+G278</f>
        <v>276</v>
      </c>
      <c r="H275" s="174">
        <f>H276+H278</f>
        <v>22.424</v>
      </c>
      <c r="I275" s="185">
        <f t="shared" si="21"/>
        <v>0.0812463768115942</v>
      </c>
    </row>
    <row r="276" spans="1:9" ht="25.5">
      <c r="A276" s="28" t="s">
        <v>33</v>
      </c>
      <c r="B276" s="27" t="s">
        <v>313</v>
      </c>
      <c r="C276" s="27" t="s">
        <v>291</v>
      </c>
      <c r="D276" s="27" t="s">
        <v>314</v>
      </c>
      <c r="E276" s="71" t="s">
        <v>32</v>
      </c>
      <c r="F276" s="27" t="s">
        <v>34</v>
      </c>
      <c r="G276" s="76">
        <f>G277</f>
        <v>275</v>
      </c>
      <c r="H276" s="174">
        <f>H277</f>
        <v>21.424</v>
      </c>
      <c r="I276" s="185">
        <f t="shared" si="21"/>
        <v>0.07790545454545454</v>
      </c>
    </row>
    <row r="277" spans="1:9" ht="27.75" customHeight="1">
      <c r="A277" s="28" t="s">
        <v>35</v>
      </c>
      <c r="B277" s="27" t="s">
        <v>313</v>
      </c>
      <c r="C277" s="27" t="s">
        <v>291</v>
      </c>
      <c r="D277" s="27" t="s">
        <v>314</v>
      </c>
      <c r="E277" s="71" t="s">
        <v>32</v>
      </c>
      <c r="F277" s="27" t="s">
        <v>36</v>
      </c>
      <c r="G277" s="76">
        <v>275</v>
      </c>
      <c r="H277" s="174">
        <v>21.424</v>
      </c>
      <c r="I277" s="185">
        <f t="shared" si="21"/>
        <v>0.07790545454545454</v>
      </c>
    </row>
    <row r="278" spans="1:9" ht="12.75">
      <c r="A278" s="67" t="s">
        <v>37</v>
      </c>
      <c r="B278" s="27" t="s">
        <v>313</v>
      </c>
      <c r="C278" s="27" t="s">
        <v>291</v>
      </c>
      <c r="D278" s="27" t="s">
        <v>314</v>
      </c>
      <c r="E278" s="71" t="s">
        <v>32</v>
      </c>
      <c r="F278" s="27" t="s">
        <v>38</v>
      </c>
      <c r="G278" s="76">
        <f>G279</f>
        <v>1</v>
      </c>
      <c r="H278" s="174">
        <f>H279</f>
        <v>1</v>
      </c>
      <c r="I278" s="185">
        <f t="shared" si="21"/>
        <v>1</v>
      </c>
    </row>
    <row r="279" spans="1:9" ht="12.75">
      <c r="A279" s="67" t="s">
        <v>39</v>
      </c>
      <c r="B279" s="27" t="s">
        <v>313</v>
      </c>
      <c r="C279" s="27" t="s">
        <v>291</v>
      </c>
      <c r="D279" s="27" t="s">
        <v>314</v>
      </c>
      <c r="E279" s="71" t="s">
        <v>32</v>
      </c>
      <c r="F279" s="27" t="s">
        <v>40</v>
      </c>
      <c r="G279" s="76">
        <v>1</v>
      </c>
      <c r="H279" s="174">
        <v>1</v>
      </c>
      <c r="I279" s="185">
        <f t="shared" si="21"/>
        <v>1</v>
      </c>
    </row>
    <row r="280" spans="1:9" ht="25.5">
      <c r="A280" s="74" t="s">
        <v>47</v>
      </c>
      <c r="B280" s="27" t="s">
        <v>313</v>
      </c>
      <c r="C280" s="27" t="s">
        <v>291</v>
      </c>
      <c r="D280" s="27" t="s">
        <v>314</v>
      </c>
      <c r="E280" s="71" t="s">
        <v>28</v>
      </c>
      <c r="F280" s="27"/>
      <c r="G280" s="76">
        <f>G281</f>
        <v>1506</v>
      </c>
      <c r="H280" s="174">
        <f>H281</f>
        <v>1153.97719</v>
      </c>
      <c r="I280" s="185">
        <f t="shared" si="21"/>
        <v>0.7662531142098274</v>
      </c>
    </row>
    <row r="281" spans="1:9" ht="76.5">
      <c r="A281" s="67" t="s">
        <v>19</v>
      </c>
      <c r="B281" s="27" t="s">
        <v>313</v>
      </c>
      <c r="C281" s="27" t="s">
        <v>291</v>
      </c>
      <c r="D281" s="27" t="s">
        <v>314</v>
      </c>
      <c r="E281" s="68" t="s">
        <v>48</v>
      </c>
      <c r="F281" s="27" t="s">
        <v>20</v>
      </c>
      <c r="G281" s="76">
        <f>G282</f>
        <v>1506</v>
      </c>
      <c r="H281" s="174">
        <f>H282</f>
        <v>1153.97719</v>
      </c>
      <c r="I281" s="185">
        <f t="shared" si="21"/>
        <v>0.7662531142098274</v>
      </c>
    </row>
    <row r="282" spans="1:9" ht="25.5">
      <c r="A282" s="67" t="s">
        <v>21</v>
      </c>
      <c r="B282" s="27" t="s">
        <v>313</v>
      </c>
      <c r="C282" s="27" t="s">
        <v>291</v>
      </c>
      <c r="D282" s="27" t="s">
        <v>314</v>
      </c>
      <c r="E282" s="68" t="s">
        <v>48</v>
      </c>
      <c r="F282" s="27" t="s">
        <v>22</v>
      </c>
      <c r="G282" s="76">
        <f>1264+242</f>
        <v>1506</v>
      </c>
      <c r="H282" s="174">
        <v>1153.97719</v>
      </c>
      <c r="I282" s="185">
        <f t="shared" si="21"/>
        <v>0.7662531142098274</v>
      </c>
    </row>
    <row r="283" spans="1:9" ht="63.75">
      <c r="A283" s="77" t="s">
        <v>114</v>
      </c>
      <c r="B283" s="27" t="s">
        <v>315</v>
      </c>
      <c r="C283" s="27" t="s">
        <v>304</v>
      </c>
      <c r="D283" s="27" t="s">
        <v>297</v>
      </c>
      <c r="E283" s="71" t="s">
        <v>115</v>
      </c>
      <c r="F283" s="71"/>
      <c r="G283" s="93">
        <f aca="true" t="shared" si="22" ref="G283:H286">G284</f>
        <v>8265.2</v>
      </c>
      <c r="H283" s="177">
        <f t="shared" si="22"/>
        <v>6075.91915</v>
      </c>
      <c r="I283" s="185">
        <f t="shared" si="21"/>
        <v>0.7351206443885204</v>
      </c>
    </row>
    <row r="284" spans="1:9" ht="12.75">
      <c r="A284" s="77" t="s">
        <v>181</v>
      </c>
      <c r="B284" s="27" t="s">
        <v>315</v>
      </c>
      <c r="C284" s="27" t="s">
        <v>304</v>
      </c>
      <c r="D284" s="27" t="s">
        <v>297</v>
      </c>
      <c r="E284" s="71" t="s">
        <v>182</v>
      </c>
      <c r="F284" s="71"/>
      <c r="G284" s="95">
        <f t="shared" si="22"/>
        <v>8265.2</v>
      </c>
      <c r="H284" s="180">
        <f t="shared" si="22"/>
        <v>6075.91915</v>
      </c>
      <c r="I284" s="185">
        <f t="shared" si="21"/>
        <v>0.7351206443885204</v>
      </c>
    </row>
    <row r="285" spans="1:9" ht="25.5">
      <c r="A285" s="83" t="s">
        <v>208</v>
      </c>
      <c r="B285" s="27" t="s">
        <v>315</v>
      </c>
      <c r="C285" s="27" t="s">
        <v>304</v>
      </c>
      <c r="D285" s="27" t="s">
        <v>297</v>
      </c>
      <c r="E285" s="71" t="s">
        <v>209</v>
      </c>
      <c r="F285" s="71"/>
      <c r="G285" s="76">
        <f t="shared" si="22"/>
        <v>8265.2</v>
      </c>
      <c r="H285" s="174">
        <f t="shared" si="22"/>
        <v>6075.91915</v>
      </c>
      <c r="I285" s="185">
        <f t="shared" si="21"/>
        <v>0.7351206443885204</v>
      </c>
    </row>
    <row r="286" spans="1:9" ht="12.75">
      <c r="A286" s="28" t="s">
        <v>210</v>
      </c>
      <c r="B286" s="27" t="s">
        <v>315</v>
      </c>
      <c r="C286" s="27" t="s">
        <v>304</v>
      </c>
      <c r="D286" s="27" t="s">
        <v>297</v>
      </c>
      <c r="E286" s="71" t="s">
        <v>211</v>
      </c>
      <c r="F286" s="71"/>
      <c r="G286" s="76">
        <f t="shared" si="22"/>
        <v>8265.2</v>
      </c>
      <c r="H286" s="174">
        <f t="shared" si="22"/>
        <v>6075.91915</v>
      </c>
      <c r="I286" s="185">
        <f t="shared" si="21"/>
        <v>0.7351206443885204</v>
      </c>
    </row>
    <row r="287" spans="1:9" ht="51">
      <c r="A287" s="67" t="s">
        <v>212</v>
      </c>
      <c r="B287" s="27" t="s">
        <v>315</v>
      </c>
      <c r="C287" s="27" t="s">
        <v>304</v>
      </c>
      <c r="D287" s="27" t="s">
        <v>297</v>
      </c>
      <c r="E287" s="71" t="s">
        <v>211</v>
      </c>
      <c r="F287" s="71"/>
      <c r="G287" s="76">
        <f>G288+G291+G293</f>
        <v>8265.2</v>
      </c>
      <c r="H287" s="174">
        <f>H288+H291+H293</f>
        <v>6075.91915</v>
      </c>
      <c r="I287" s="185">
        <f t="shared" si="21"/>
        <v>0.7351206443885204</v>
      </c>
    </row>
    <row r="288" spans="1:9" ht="76.5">
      <c r="A288" s="67" t="s">
        <v>19</v>
      </c>
      <c r="B288" s="27" t="s">
        <v>315</v>
      </c>
      <c r="C288" s="27" t="s">
        <v>304</v>
      </c>
      <c r="D288" s="27" t="s">
        <v>297</v>
      </c>
      <c r="E288" s="71" t="s">
        <v>211</v>
      </c>
      <c r="F288" s="71"/>
      <c r="G288" s="76">
        <f>G289</f>
        <v>6245.42</v>
      </c>
      <c r="H288" s="174">
        <f>H289</f>
        <v>5511.76347</v>
      </c>
      <c r="I288" s="185">
        <f t="shared" si="21"/>
        <v>0.8825288723576636</v>
      </c>
    </row>
    <row r="289" spans="1:9" ht="25.5">
      <c r="A289" s="67" t="s">
        <v>80</v>
      </c>
      <c r="B289" s="27" t="s">
        <v>315</v>
      </c>
      <c r="C289" s="27" t="s">
        <v>304</v>
      </c>
      <c r="D289" s="27" t="s">
        <v>297</v>
      </c>
      <c r="E289" s="71" t="s">
        <v>211</v>
      </c>
      <c r="F289" s="71" t="s">
        <v>20</v>
      </c>
      <c r="G289" s="76">
        <f>G290</f>
        <v>6245.42</v>
      </c>
      <c r="H289" s="174">
        <f>H290</f>
        <v>5511.76347</v>
      </c>
      <c r="I289" s="185">
        <f t="shared" si="21"/>
        <v>0.8825288723576636</v>
      </c>
    </row>
    <row r="290" spans="1:9" ht="25.5">
      <c r="A290" s="77" t="s">
        <v>33</v>
      </c>
      <c r="B290" s="27" t="s">
        <v>315</v>
      </c>
      <c r="C290" s="27" t="s">
        <v>304</v>
      </c>
      <c r="D290" s="27" t="s">
        <v>297</v>
      </c>
      <c r="E290" s="71" t="s">
        <v>211</v>
      </c>
      <c r="F290" s="71" t="s">
        <v>81</v>
      </c>
      <c r="G290" s="76">
        <f>5845.42+400</f>
        <v>6245.42</v>
      </c>
      <c r="H290" s="174">
        <v>5511.76347</v>
      </c>
      <c r="I290" s="185">
        <f t="shared" si="21"/>
        <v>0.8825288723576636</v>
      </c>
    </row>
    <row r="291" spans="1:9" ht="25.5">
      <c r="A291" s="77" t="s">
        <v>35</v>
      </c>
      <c r="B291" s="27" t="s">
        <v>315</v>
      </c>
      <c r="C291" s="27" t="s">
        <v>304</v>
      </c>
      <c r="D291" s="27" t="s">
        <v>297</v>
      </c>
      <c r="E291" s="71" t="s">
        <v>211</v>
      </c>
      <c r="F291" s="71" t="s">
        <v>34</v>
      </c>
      <c r="G291" s="76">
        <f>G292</f>
        <v>2009.7799999999997</v>
      </c>
      <c r="H291" s="174">
        <f>H292</f>
        <v>564.08788</v>
      </c>
      <c r="I291" s="185">
        <f t="shared" si="21"/>
        <v>0.2806714565773369</v>
      </c>
    </row>
    <row r="292" spans="1:9" ht="12.75">
      <c r="A292" s="67" t="s">
        <v>37</v>
      </c>
      <c r="B292" s="27" t="s">
        <v>315</v>
      </c>
      <c r="C292" s="27" t="s">
        <v>304</v>
      </c>
      <c r="D292" s="27" t="s">
        <v>297</v>
      </c>
      <c r="E292" s="71" t="s">
        <v>211</v>
      </c>
      <c r="F292" s="71" t="s">
        <v>36</v>
      </c>
      <c r="G292" s="76">
        <f>2590-10+700+1000-1000-400+1836.78-2907+200</f>
        <v>2009.7799999999997</v>
      </c>
      <c r="H292" s="174">
        <v>564.08788</v>
      </c>
      <c r="I292" s="185">
        <f t="shared" si="21"/>
        <v>0.2806714565773369</v>
      </c>
    </row>
    <row r="293" spans="1:9" ht="12.75">
      <c r="A293" s="67" t="s">
        <v>39</v>
      </c>
      <c r="B293" s="27" t="s">
        <v>315</v>
      </c>
      <c r="C293" s="27" t="s">
        <v>304</v>
      </c>
      <c r="D293" s="27" t="s">
        <v>297</v>
      </c>
      <c r="E293" s="71" t="s">
        <v>211</v>
      </c>
      <c r="F293" s="71" t="s">
        <v>38</v>
      </c>
      <c r="G293" s="76">
        <f>G294</f>
        <v>10</v>
      </c>
      <c r="H293" s="174">
        <f>H294</f>
        <v>0.0678</v>
      </c>
      <c r="I293" s="185">
        <f t="shared" si="21"/>
        <v>0.00678</v>
      </c>
    </row>
    <row r="294" spans="1:9" ht="12.75">
      <c r="A294" s="67" t="s">
        <v>39</v>
      </c>
      <c r="B294" s="27" t="s">
        <v>315</v>
      </c>
      <c r="C294" s="27" t="s">
        <v>304</v>
      </c>
      <c r="D294" s="27" t="s">
        <v>297</v>
      </c>
      <c r="E294" s="71" t="s">
        <v>211</v>
      </c>
      <c r="F294" s="71" t="s">
        <v>40</v>
      </c>
      <c r="G294" s="76">
        <v>10</v>
      </c>
      <c r="H294" s="174">
        <v>0.0678</v>
      </c>
      <c r="I294" s="185">
        <f t="shared" si="21"/>
        <v>0.00678</v>
      </c>
    </row>
    <row r="295" spans="1:9" ht="12.75">
      <c r="A295" s="77" t="s">
        <v>76</v>
      </c>
      <c r="B295" s="27" t="s">
        <v>316</v>
      </c>
      <c r="C295" s="27" t="s">
        <v>291</v>
      </c>
      <c r="D295" s="27" t="s">
        <v>296</v>
      </c>
      <c r="E295" s="68" t="s">
        <v>77</v>
      </c>
      <c r="F295" s="27"/>
      <c r="G295" s="100">
        <f>G296</f>
        <v>12409</v>
      </c>
      <c r="H295" s="173">
        <f>H296</f>
        <v>9539.627050000001</v>
      </c>
      <c r="I295" s="185">
        <f t="shared" si="21"/>
        <v>0.768766786203562</v>
      </c>
    </row>
    <row r="296" spans="1:9" ht="51">
      <c r="A296" s="67" t="s">
        <v>78</v>
      </c>
      <c r="B296" s="27" t="s">
        <v>316</v>
      </c>
      <c r="C296" s="27" t="s">
        <v>291</v>
      </c>
      <c r="D296" s="27" t="s">
        <v>296</v>
      </c>
      <c r="E296" s="68" t="s">
        <v>79</v>
      </c>
      <c r="F296" s="27"/>
      <c r="G296" s="76">
        <f>G297+G299+G301</f>
        <v>12409</v>
      </c>
      <c r="H296" s="174">
        <f>H297+H299+H301</f>
        <v>9539.627050000001</v>
      </c>
      <c r="I296" s="185">
        <f t="shared" si="21"/>
        <v>0.768766786203562</v>
      </c>
    </row>
    <row r="297" spans="1:9" ht="48" customHeight="1">
      <c r="A297" s="67" t="s">
        <v>19</v>
      </c>
      <c r="B297" s="27" t="s">
        <v>316</v>
      </c>
      <c r="C297" s="27" t="s">
        <v>291</v>
      </c>
      <c r="D297" s="27" t="s">
        <v>296</v>
      </c>
      <c r="E297" s="68" t="s">
        <v>79</v>
      </c>
      <c r="F297" s="71" t="s">
        <v>20</v>
      </c>
      <c r="G297" s="76">
        <f>G298</f>
        <v>11293</v>
      </c>
      <c r="H297" s="174">
        <f>H298</f>
        <v>8826.13319</v>
      </c>
      <c r="I297" s="185">
        <f t="shared" si="21"/>
        <v>0.78155788453024</v>
      </c>
    </row>
    <row r="298" spans="1:9" ht="25.5">
      <c r="A298" s="67" t="s">
        <v>80</v>
      </c>
      <c r="B298" s="27" t="s">
        <v>316</v>
      </c>
      <c r="C298" s="27" t="s">
        <v>291</v>
      </c>
      <c r="D298" s="27" t="s">
        <v>296</v>
      </c>
      <c r="E298" s="68" t="s">
        <v>79</v>
      </c>
      <c r="F298" s="71" t="s">
        <v>81</v>
      </c>
      <c r="G298" s="76">
        <f>9265-5+2033</f>
        <v>11293</v>
      </c>
      <c r="H298" s="174">
        <v>8826.13319</v>
      </c>
      <c r="I298" s="185">
        <f t="shared" si="21"/>
        <v>0.78155788453024</v>
      </c>
    </row>
    <row r="299" spans="1:9" ht="25.5">
      <c r="A299" s="77" t="s">
        <v>33</v>
      </c>
      <c r="B299" s="27" t="s">
        <v>316</v>
      </c>
      <c r="C299" s="27" t="s">
        <v>291</v>
      </c>
      <c r="D299" s="27" t="s">
        <v>296</v>
      </c>
      <c r="E299" s="68" t="s">
        <v>79</v>
      </c>
      <c r="F299" s="71" t="s">
        <v>34</v>
      </c>
      <c r="G299" s="76">
        <f>G300</f>
        <v>1113</v>
      </c>
      <c r="H299" s="174">
        <f>H300</f>
        <v>711.72329</v>
      </c>
      <c r="I299" s="185">
        <f t="shared" si="21"/>
        <v>0.6394638724168913</v>
      </c>
    </row>
    <row r="300" spans="1:9" ht="25.5">
      <c r="A300" s="77" t="s">
        <v>35</v>
      </c>
      <c r="B300" s="27" t="s">
        <v>316</v>
      </c>
      <c r="C300" s="27" t="s">
        <v>291</v>
      </c>
      <c r="D300" s="27" t="s">
        <v>296</v>
      </c>
      <c r="E300" s="68" t="s">
        <v>79</v>
      </c>
      <c r="F300" s="71" t="s">
        <v>36</v>
      </c>
      <c r="G300" s="76">
        <f>435+300+154+65.7+70.3+5-1.5+86-7.5+6</f>
        <v>1113</v>
      </c>
      <c r="H300" s="174">
        <v>711.72329</v>
      </c>
      <c r="I300" s="185">
        <f t="shared" si="21"/>
        <v>0.6394638724168913</v>
      </c>
    </row>
    <row r="301" spans="1:9" ht="18" customHeight="1">
      <c r="A301" s="67" t="s">
        <v>37</v>
      </c>
      <c r="B301" s="27" t="s">
        <v>316</v>
      </c>
      <c r="C301" s="27" t="s">
        <v>291</v>
      </c>
      <c r="D301" s="27" t="s">
        <v>296</v>
      </c>
      <c r="E301" s="68" t="s">
        <v>79</v>
      </c>
      <c r="F301" s="71" t="s">
        <v>38</v>
      </c>
      <c r="G301" s="76">
        <f>G302</f>
        <v>3</v>
      </c>
      <c r="H301" s="174">
        <f>H302</f>
        <v>1.77057</v>
      </c>
      <c r="I301" s="185">
        <f t="shared" si="21"/>
        <v>0.59019</v>
      </c>
    </row>
    <row r="302" spans="1:9" ht="12.75">
      <c r="A302" s="67" t="s">
        <v>39</v>
      </c>
      <c r="B302" s="27" t="s">
        <v>316</v>
      </c>
      <c r="C302" s="27" t="s">
        <v>291</v>
      </c>
      <c r="D302" s="27" t="s">
        <v>296</v>
      </c>
      <c r="E302" s="68" t="s">
        <v>79</v>
      </c>
      <c r="F302" s="71" t="s">
        <v>40</v>
      </c>
      <c r="G302" s="76">
        <v>3</v>
      </c>
      <c r="H302" s="174">
        <v>1.77057</v>
      </c>
      <c r="I302" s="185">
        <f t="shared" si="21"/>
        <v>0.59019</v>
      </c>
    </row>
    <row r="303" spans="1:9" ht="21.75" customHeight="1">
      <c r="A303" s="42" t="s">
        <v>285</v>
      </c>
      <c r="B303" s="42"/>
      <c r="C303" s="122"/>
      <c r="D303" s="122"/>
      <c r="E303" s="123"/>
      <c r="F303" s="122"/>
      <c r="G303" s="124">
        <f>G295+G283+G271+G256+G10</f>
        <v>500593.753</v>
      </c>
      <c r="H303" s="183">
        <f>H295+H283+H271+H256+H10</f>
        <v>334300.55152246007</v>
      </c>
      <c r="I303" s="185">
        <f t="shared" si="21"/>
        <v>0.6678080769466974</v>
      </c>
    </row>
    <row r="305" ht="12.75">
      <c r="E305" s="18"/>
    </row>
    <row r="309" ht="42" customHeight="1"/>
    <row r="315" ht="12.75">
      <c r="L315" s="18"/>
    </row>
    <row r="317" ht="12.75">
      <c r="N317" s="18"/>
    </row>
    <row r="318" ht="12.75">
      <c r="Q318" s="18"/>
    </row>
  </sheetData>
  <sheetProtection selectLockedCells="1" selectUnlockedCells="1"/>
  <autoFilter ref="A9:F269"/>
  <mergeCells count="1">
    <mergeCell ref="A7:G7"/>
  </mergeCells>
  <printOptions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B1" sqref="B1:C5"/>
    </sheetView>
  </sheetViews>
  <sheetFormatPr defaultColWidth="45.875" defaultRowHeight="12.75"/>
  <cols>
    <col min="1" max="1" width="47.375" style="19" customWidth="1"/>
    <col min="2" max="2" width="23.375" style="19" customWidth="1"/>
    <col min="3" max="3" width="12.125" style="19" customWidth="1"/>
    <col min="4" max="4" width="12.375" style="19" customWidth="1"/>
    <col min="5" max="16384" width="45.875" style="19" customWidth="1"/>
  </cols>
  <sheetData>
    <row r="1" spans="2:4" ht="12.75">
      <c r="B1" s="54" t="s">
        <v>466</v>
      </c>
      <c r="C1" s="55"/>
      <c r="D1" s="56"/>
    </row>
    <row r="2" spans="2:4" ht="12.75">
      <c r="B2" s="54" t="s">
        <v>377</v>
      </c>
      <c r="C2" s="55"/>
      <c r="D2" s="56"/>
    </row>
    <row r="3" spans="2:4" ht="12.75">
      <c r="B3" s="54" t="s">
        <v>378</v>
      </c>
      <c r="C3" s="55"/>
      <c r="D3" s="56"/>
    </row>
    <row r="4" spans="2:4" ht="12.75">
      <c r="B4" s="54" t="s">
        <v>379</v>
      </c>
      <c r="C4" s="55"/>
      <c r="D4" s="55"/>
    </row>
    <row r="5" spans="2:4" ht="12.75">
      <c r="B5" s="54" t="s">
        <v>555</v>
      </c>
      <c r="C5" s="55"/>
      <c r="D5" s="56"/>
    </row>
    <row r="6" spans="2:3" ht="12.75">
      <c r="B6" s="54"/>
      <c r="C6" s="55"/>
    </row>
    <row r="7" spans="1:3" ht="12.75">
      <c r="A7" s="211" t="s">
        <v>467</v>
      </c>
      <c r="B7" s="211"/>
      <c r="C7" s="211"/>
    </row>
    <row r="8" ht="12.75">
      <c r="C8" s="19" t="s">
        <v>5</v>
      </c>
    </row>
    <row r="9" spans="1:4" ht="30" customHeight="1">
      <c r="A9" s="48" t="s">
        <v>6</v>
      </c>
      <c r="B9" s="48" t="s">
        <v>468</v>
      </c>
      <c r="C9" s="22" t="s">
        <v>559</v>
      </c>
      <c r="D9" s="22" t="s">
        <v>560</v>
      </c>
    </row>
    <row r="10" spans="1:4" ht="38.25">
      <c r="A10" s="125" t="s">
        <v>469</v>
      </c>
      <c r="B10" s="70"/>
      <c r="C10" s="126">
        <f>C21+C11</f>
        <v>48248.36351</v>
      </c>
      <c r="D10" s="126">
        <f>D21+D11</f>
        <v>44957</v>
      </c>
    </row>
    <row r="11" spans="1:4" ht="25.5">
      <c r="A11" s="125" t="s">
        <v>470</v>
      </c>
      <c r="B11" s="48" t="s">
        <v>471</v>
      </c>
      <c r="C11" s="126">
        <f>C12+C14</f>
        <v>15000</v>
      </c>
      <c r="D11" s="126">
        <f>D12+D14</f>
        <v>25000</v>
      </c>
    </row>
    <row r="12" spans="1:4" ht="25.5">
      <c r="A12" s="127" t="s">
        <v>472</v>
      </c>
      <c r="B12" s="48" t="s">
        <v>473</v>
      </c>
      <c r="C12" s="126">
        <f>C13</f>
        <v>35000</v>
      </c>
      <c r="D12" s="126">
        <f>D13</f>
        <v>35000</v>
      </c>
    </row>
    <row r="13" spans="1:4" ht="25.5">
      <c r="A13" s="127" t="s">
        <v>474</v>
      </c>
      <c r="B13" s="48" t="s">
        <v>475</v>
      </c>
      <c r="C13" s="126">
        <v>35000</v>
      </c>
      <c r="D13" s="126">
        <v>35000</v>
      </c>
    </row>
    <row r="14" spans="1:4" ht="25.5">
      <c r="A14" s="127" t="s">
        <v>476</v>
      </c>
      <c r="B14" s="48" t="s">
        <v>477</v>
      </c>
      <c r="C14" s="126">
        <f>C15</f>
        <v>-20000</v>
      </c>
      <c r="D14" s="126">
        <f>D15</f>
        <v>-10000</v>
      </c>
    </row>
    <row r="15" spans="1:4" ht="38.25">
      <c r="A15" s="127" t="s">
        <v>478</v>
      </c>
      <c r="B15" s="48" t="s">
        <v>479</v>
      </c>
      <c r="C15" s="126">
        <v>-20000</v>
      </c>
      <c r="D15" s="126">
        <v>-10000</v>
      </c>
    </row>
    <row r="16" spans="1:4" ht="25.5">
      <c r="A16" s="125" t="s">
        <v>480</v>
      </c>
      <c r="B16" s="48" t="s">
        <v>481</v>
      </c>
      <c r="C16" s="128">
        <f>C17+C19</f>
        <v>0</v>
      </c>
      <c r="D16" s="128">
        <f>D17+D19</f>
        <v>0</v>
      </c>
    </row>
    <row r="17" spans="1:4" ht="38.25">
      <c r="A17" s="127" t="s">
        <v>482</v>
      </c>
      <c r="B17" s="48" t="s">
        <v>483</v>
      </c>
      <c r="C17" s="126">
        <f>C18</f>
        <v>10000</v>
      </c>
      <c r="D17" s="126">
        <f>D18</f>
        <v>10000</v>
      </c>
    </row>
    <row r="18" spans="1:4" ht="38.25">
      <c r="A18" s="127" t="s">
        <v>484</v>
      </c>
      <c r="B18" s="48" t="s">
        <v>485</v>
      </c>
      <c r="C18" s="126">
        <v>10000</v>
      </c>
      <c r="D18" s="126">
        <v>10000</v>
      </c>
    </row>
    <row r="19" spans="1:4" ht="38.25">
      <c r="A19" s="127" t="s">
        <v>486</v>
      </c>
      <c r="B19" s="48" t="s">
        <v>487</v>
      </c>
      <c r="C19" s="126">
        <f>C20</f>
        <v>-10000</v>
      </c>
      <c r="D19" s="126">
        <f>D20</f>
        <v>-10000</v>
      </c>
    </row>
    <row r="20" spans="1:4" ht="38.25">
      <c r="A20" s="127" t="s">
        <v>488</v>
      </c>
      <c r="B20" s="48" t="s">
        <v>489</v>
      </c>
      <c r="C20" s="126">
        <v>-10000</v>
      </c>
      <c r="D20" s="126">
        <v>-10000</v>
      </c>
    </row>
    <row r="21" spans="1:4" ht="25.5">
      <c r="A21" s="125" t="s">
        <v>490</v>
      </c>
      <c r="B21" s="48" t="s">
        <v>491</v>
      </c>
      <c r="C21" s="126">
        <v>33248.36351</v>
      </c>
      <c r="D21" s="126">
        <v>19957</v>
      </c>
    </row>
    <row r="22" spans="1:4" ht="12.75">
      <c r="A22" s="125" t="s">
        <v>492</v>
      </c>
      <c r="B22" s="48" t="s">
        <v>493</v>
      </c>
      <c r="C22" s="126">
        <f>C23</f>
        <v>-509849.8</v>
      </c>
      <c r="D22" s="126">
        <f>D23</f>
        <v>-376064.4</v>
      </c>
    </row>
    <row r="23" spans="1:4" ht="25.5">
      <c r="A23" s="127" t="s">
        <v>494</v>
      </c>
      <c r="B23" s="48" t="s">
        <v>495</v>
      </c>
      <c r="C23" s="126">
        <f>C24</f>
        <v>-509849.8</v>
      </c>
      <c r="D23" s="126">
        <f>D24</f>
        <v>-376064.4</v>
      </c>
    </row>
    <row r="24" spans="1:4" ht="25.5">
      <c r="A24" s="127" t="s">
        <v>496</v>
      </c>
      <c r="B24" s="48" t="s">
        <v>497</v>
      </c>
      <c r="C24" s="126">
        <v>-509849.8</v>
      </c>
      <c r="D24" s="126">
        <v>-376064.4</v>
      </c>
    </row>
    <row r="25" spans="1:4" ht="12.75">
      <c r="A25" s="125" t="s">
        <v>498</v>
      </c>
      <c r="B25" s="48" t="s">
        <v>499</v>
      </c>
      <c r="C25" s="126">
        <f>C26</f>
        <v>543098.2</v>
      </c>
      <c r="D25" s="126">
        <f>D26</f>
        <v>396021.4</v>
      </c>
    </row>
    <row r="26" spans="1:4" ht="25.5">
      <c r="A26" s="127" t="s">
        <v>500</v>
      </c>
      <c r="B26" s="48" t="s">
        <v>501</v>
      </c>
      <c r="C26" s="126">
        <f>C27</f>
        <v>543098.2</v>
      </c>
      <c r="D26" s="126">
        <f>D27</f>
        <v>396021.4</v>
      </c>
    </row>
    <row r="27" spans="1:4" ht="25.5">
      <c r="A27" s="127" t="s">
        <v>502</v>
      </c>
      <c r="B27" s="48" t="s">
        <v>503</v>
      </c>
      <c r="C27" s="126">
        <v>543098.2</v>
      </c>
      <c r="D27" s="126">
        <v>396021.4</v>
      </c>
    </row>
  </sheetData>
  <sheetProtection/>
  <mergeCells count="1">
    <mergeCell ref="A7:C7"/>
  </mergeCells>
  <printOptions/>
  <pageMargins left="1.3779527559055118" right="0.3937007874015748" top="0.7874015748031497" bottom="0.7874015748031497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F288"/>
  <sheetViews>
    <sheetView view="pageBreakPreview" zoomScaleSheetLayoutView="100" zoomScalePageLayoutView="0" workbookViewId="0" topLeftCell="A268">
      <selection activeCell="G254" sqref="G254"/>
    </sheetView>
  </sheetViews>
  <sheetFormatPr defaultColWidth="8.875" defaultRowHeight="12.75"/>
  <cols>
    <col min="1" max="1" width="57.875" style="19" customWidth="1"/>
    <col min="2" max="2" width="13.375" style="157" customWidth="1"/>
    <col min="3" max="3" width="6.875" style="129" customWidth="1"/>
    <col min="4" max="4" width="10.875" style="130" customWidth="1"/>
    <col min="5" max="5" width="10.75390625" style="18" customWidth="1"/>
    <col min="6" max="6" width="11.125" style="19" customWidth="1"/>
    <col min="7" max="16384" width="8.875" style="19" customWidth="1"/>
  </cols>
  <sheetData>
    <row r="1" spans="2:6" ht="12.75">
      <c r="B1" s="54" t="s">
        <v>504</v>
      </c>
      <c r="C1" s="55"/>
      <c r="D1" s="56"/>
      <c r="E1" s="57"/>
      <c r="F1" s="18"/>
    </row>
    <row r="2" spans="2:6" ht="12.75">
      <c r="B2" s="54" t="s">
        <v>377</v>
      </c>
      <c r="C2" s="55"/>
      <c r="D2" s="56"/>
      <c r="E2" s="57"/>
      <c r="F2" s="18"/>
    </row>
    <row r="3" spans="2:6" ht="12.75">
      <c r="B3" s="54" t="s">
        <v>378</v>
      </c>
      <c r="C3" s="55"/>
      <c r="D3" s="56"/>
      <c r="E3" s="57"/>
      <c r="F3" s="18"/>
    </row>
    <row r="4" spans="2:6" ht="12.75">
      <c r="B4" s="54" t="s">
        <v>379</v>
      </c>
      <c r="C4" s="55"/>
      <c r="D4" s="55"/>
      <c r="E4" s="57"/>
      <c r="F4" s="18"/>
    </row>
    <row r="5" spans="2:6" ht="12.75">
      <c r="B5" s="54" t="s">
        <v>555</v>
      </c>
      <c r="C5" s="55"/>
      <c r="D5" s="56"/>
      <c r="E5" s="57"/>
      <c r="F5" s="18"/>
    </row>
    <row r="6" spans="2:6" ht="12.75">
      <c r="B6" s="54"/>
      <c r="C6" s="55"/>
      <c r="D6" s="56"/>
      <c r="E6" s="57"/>
      <c r="F6" s="18"/>
    </row>
    <row r="7" spans="1:4" ht="57.75" customHeight="1">
      <c r="A7" s="204" t="s">
        <v>318</v>
      </c>
      <c r="B7" s="204"/>
      <c r="C7" s="204"/>
      <c r="D7" s="204"/>
    </row>
    <row r="8" ht="29.25" customHeight="1" hidden="1">
      <c r="B8" s="54"/>
    </row>
    <row r="9" spans="1:4" ht="27" customHeight="1">
      <c r="A9" s="131"/>
      <c r="B9" s="132"/>
      <c r="C9" s="133"/>
      <c r="D9" s="134"/>
    </row>
    <row r="10" spans="1:6" ht="25.5">
      <c r="A10" s="21" t="s">
        <v>2</v>
      </c>
      <c r="B10" s="29" t="s">
        <v>9</v>
      </c>
      <c r="C10" s="29" t="s">
        <v>10</v>
      </c>
      <c r="D10" s="22" t="s">
        <v>559</v>
      </c>
      <c r="E10" s="22" t="s">
        <v>560</v>
      </c>
      <c r="F10" s="199" t="s">
        <v>561</v>
      </c>
    </row>
    <row r="11" spans="1:6" s="44" customFormat="1" ht="38.25">
      <c r="A11" s="135" t="s">
        <v>319</v>
      </c>
      <c r="B11" s="65" t="s">
        <v>63</v>
      </c>
      <c r="C11" s="27"/>
      <c r="D11" s="78">
        <f>D12+D18+D21+D15+D24</f>
        <v>726.0999999999999</v>
      </c>
      <c r="E11" s="179">
        <f>E12+E18+E21+E15+E24</f>
        <v>152.8184</v>
      </c>
      <c r="F11" s="193">
        <f>E11/D11</f>
        <v>0.21046467428728827</v>
      </c>
    </row>
    <row r="12" spans="1:6" s="44" customFormat="1" ht="12.75">
      <c r="A12" s="80" t="s">
        <v>91</v>
      </c>
      <c r="B12" s="68" t="s">
        <v>93</v>
      </c>
      <c r="C12" s="48"/>
      <c r="D12" s="69">
        <f>D13</f>
        <v>7.5</v>
      </c>
      <c r="E12" s="175">
        <f>E13</f>
        <v>0</v>
      </c>
      <c r="F12" s="193">
        <f aca="true" t="shared" si="0" ref="F12:F75">E12/D12</f>
        <v>0</v>
      </c>
    </row>
    <row r="13" spans="1:6" s="44" customFormat="1" ht="12.75">
      <c r="A13" s="77" t="s">
        <v>33</v>
      </c>
      <c r="B13" s="68" t="s">
        <v>93</v>
      </c>
      <c r="C13" s="136" t="s">
        <v>34</v>
      </c>
      <c r="D13" s="69">
        <f>D14</f>
        <v>7.5</v>
      </c>
      <c r="E13" s="175">
        <f>E14</f>
        <v>0</v>
      </c>
      <c r="F13" s="193">
        <f t="shared" si="0"/>
        <v>0</v>
      </c>
    </row>
    <row r="14" spans="1:6" s="44" customFormat="1" ht="25.5">
      <c r="A14" s="77" t="s">
        <v>35</v>
      </c>
      <c r="B14" s="68" t="s">
        <v>93</v>
      </c>
      <c r="C14" s="136" t="s">
        <v>36</v>
      </c>
      <c r="D14" s="69">
        <v>7.5</v>
      </c>
      <c r="E14" s="175">
        <v>0</v>
      </c>
      <c r="F14" s="193">
        <f t="shared" si="0"/>
        <v>0</v>
      </c>
    </row>
    <row r="15" spans="1:6" s="44" customFormat="1" ht="12.75">
      <c r="A15" s="80" t="s">
        <v>96</v>
      </c>
      <c r="B15" s="68" t="s">
        <v>98</v>
      </c>
      <c r="C15" s="114"/>
      <c r="D15" s="69">
        <f>D16</f>
        <v>132.2</v>
      </c>
      <c r="E15" s="175">
        <f>E16</f>
        <v>118.6</v>
      </c>
      <c r="F15" s="193">
        <f t="shared" si="0"/>
        <v>0.897125567322239</v>
      </c>
    </row>
    <row r="16" spans="1:6" s="44" customFormat="1" ht="12.75">
      <c r="A16" s="77" t="s">
        <v>33</v>
      </c>
      <c r="B16" s="68" t="s">
        <v>98</v>
      </c>
      <c r="C16" s="136" t="s">
        <v>34</v>
      </c>
      <c r="D16" s="69">
        <f>D17</f>
        <v>132.2</v>
      </c>
      <c r="E16" s="175">
        <f>E17</f>
        <v>118.6</v>
      </c>
      <c r="F16" s="193">
        <f t="shared" si="0"/>
        <v>0.897125567322239</v>
      </c>
    </row>
    <row r="17" spans="1:6" s="44" customFormat="1" ht="25.5">
      <c r="A17" s="77" t="s">
        <v>35</v>
      </c>
      <c r="B17" s="68" t="s">
        <v>98</v>
      </c>
      <c r="C17" s="136" t="s">
        <v>36</v>
      </c>
      <c r="D17" s="69">
        <f>99.7+32.5</f>
        <v>132.2</v>
      </c>
      <c r="E17" s="175">
        <v>118.6</v>
      </c>
      <c r="F17" s="193">
        <f t="shared" si="0"/>
        <v>0.897125567322239</v>
      </c>
    </row>
    <row r="18" spans="1:6" s="44" customFormat="1" ht="25.5">
      <c r="A18" s="80" t="s">
        <v>99</v>
      </c>
      <c r="B18" s="68" t="s">
        <v>100</v>
      </c>
      <c r="C18" s="114"/>
      <c r="D18" s="69">
        <f>D19</f>
        <v>53.3</v>
      </c>
      <c r="E18" s="175">
        <f>E19</f>
        <v>25.2184</v>
      </c>
      <c r="F18" s="193">
        <f t="shared" si="0"/>
        <v>0.473140712945591</v>
      </c>
    </row>
    <row r="19" spans="1:6" s="44" customFormat="1" ht="12.75">
      <c r="A19" s="77" t="s">
        <v>33</v>
      </c>
      <c r="B19" s="68" t="s">
        <v>100</v>
      </c>
      <c r="C19" s="136" t="s">
        <v>34</v>
      </c>
      <c r="D19" s="69">
        <f>D20</f>
        <v>53.3</v>
      </c>
      <c r="E19" s="175">
        <f>E20</f>
        <v>25.2184</v>
      </c>
      <c r="F19" s="193">
        <f t="shared" si="0"/>
        <v>0.473140712945591</v>
      </c>
    </row>
    <row r="20" spans="1:6" s="44" customFormat="1" ht="25.5">
      <c r="A20" s="77" t="s">
        <v>35</v>
      </c>
      <c r="B20" s="68" t="s">
        <v>100</v>
      </c>
      <c r="C20" s="136" t="s">
        <v>36</v>
      </c>
      <c r="D20" s="69">
        <v>53.3</v>
      </c>
      <c r="E20" s="175">
        <v>25.2184</v>
      </c>
      <c r="F20" s="193">
        <f t="shared" si="0"/>
        <v>0.473140712945591</v>
      </c>
    </row>
    <row r="21" spans="1:6" s="44" customFormat="1" ht="38.25">
      <c r="A21" s="79" t="s">
        <v>94</v>
      </c>
      <c r="B21" s="68" t="s">
        <v>95</v>
      </c>
      <c r="C21" s="114"/>
      <c r="D21" s="69">
        <f>D22</f>
        <v>33.099999999999994</v>
      </c>
      <c r="E21" s="175">
        <f>E22</f>
        <v>9</v>
      </c>
      <c r="F21" s="193">
        <f t="shared" si="0"/>
        <v>0.27190332326283995</v>
      </c>
    </row>
    <row r="22" spans="1:6" s="44" customFormat="1" ht="12.75">
      <c r="A22" s="77" t="s">
        <v>33</v>
      </c>
      <c r="B22" s="68" t="s">
        <v>95</v>
      </c>
      <c r="C22" s="136" t="s">
        <v>34</v>
      </c>
      <c r="D22" s="69">
        <f>D23</f>
        <v>33.099999999999994</v>
      </c>
      <c r="E22" s="175">
        <f>E23</f>
        <v>9</v>
      </c>
      <c r="F22" s="193">
        <f t="shared" si="0"/>
        <v>0.27190332326283995</v>
      </c>
    </row>
    <row r="23" spans="1:6" s="44" customFormat="1" ht="25.5">
      <c r="A23" s="77" t="s">
        <v>35</v>
      </c>
      <c r="B23" s="68" t="s">
        <v>95</v>
      </c>
      <c r="C23" s="136" t="s">
        <v>36</v>
      </c>
      <c r="D23" s="69">
        <f>8.6+57-32.5</f>
        <v>33.099999999999994</v>
      </c>
      <c r="E23" s="175">
        <v>9</v>
      </c>
      <c r="F23" s="193">
        <f t="shared" si="0"/>
        <v>0.27190332326283995</v>
      </c>
    </row>
    <row r="24" spans="1:6" s="44" customFormat="1" ht="38.25">
      <c r="A24" s="75" t="s">
        <v>64</v>
      </c>
      <c r="B24" s="68" t="s">
        <v>65</v>
      </c>
      <c r="C24" s="136"/>
      <c r="D24" s="69">
        <f>D25</f>
        <v>500</v>
      </c>
      <c r="E24" s="175">
        <f>E25</f>
        <v>0</v>
      </c>
      <c r="F24" s="193">
        <f t="shared" si="0"/>
        <v>0</v>
      </c>
    </row>
    <row r="25" spans="1:6" s="44" customFormat="1" ht="12.75">
      <c r="A25" s="67" t="s">
        <v>37</v>
      </c>
      <c r="B25" s="68" t="s">
        <v>65</v>
      </c>
      <c r="C25" s="27" t="s">
        <v>38</v>
      </c>
      <c r="D25" s="69">
        <f>D26</f>
        <v>500</v>
      </c>
      <c r="E25" s="175">
        <f>E26</f>
        <v>0</v>
      </c>
      <c r="F25" s="193">
        <f t="shared" si="0"/>
        <v>0</v>
      </c>
    </row>
    <row r="26" spans="1:6" s="44" customFormat="1" ht="12.75">
      <c r="A26" s="70" t="s">
        <v>60</v>
      </c>
      <c r="B26" s="68" t="s">
        <v>65</v>
      </c>
      <c r="C26" s="27" t="s">
        <v>61</v>
      </c>
      <c r="D26" s="69">
        <v>500</v>
      </c>
      <c r="E26" s="175">
        <v>0</v>
      </c>
      <c r="F26" s="193">
        <f t="shared" si="0"/>
        <v>0</v>
      </c>
    </row>
    <row r="27" spans="1:6" s="44" customFormat="1" ht="38.25">
      <c r="A27" s="135" t="s">
        <v>105</v>
      </c>
      <c r="B27" s="65" t="s">
        <v>106</v>
      </c>
      <c r="C27" s="137"/>
      <c r="D27" s="25">
        <f>D28</f>
        <v>86096.31</v>
      </c>
      <c r="E27" s="176">
        <f>E28</f>
        <v>41810.783029779996</v>
      </c>
      <c r="F27" s="193">
        <f t="shared" si="0"/>
        <v>0.48562804874889526</v>
      </c>
    </row>
    <row r="28" spans="1:6" s="44" customFormat="1" ht="12.75">
      <c r="A28" s="79" t="s">
        <v>107</v>
      </c>
      <c r="B28" s="68" t="s">
        <v>109</v>
      </c>
      <c r="C28" s="27"/>
      <c r="D28" s="69">
        <f>D29+D33+D36+D31</f>
        <v>86096.31</v>
      </c>
      <c r="E28" s="175">
        <f>E29+E33+E36+E31</f>
        <v>41810.783029779996</v>
      </c>
      <c r="F28" s="193">
        <f t="shared" si="0"/>
        <v>0.48562804874889526</v>
      </c>
    </row>
    <row r="29" spans="1:6" s="44" customFormat="1" ht="12.75">
      <c r="A29" s="77" t="s">
        <v>108</v>
      </c>
      <c r="B29" s="68" t="s">
        <v>109</v>
      </c>
      <c r="C29" s="27" t="s">
        <v>34</v>
      </c>
      <c r="D29" s="69">
        <f>D30</f>
        <v>45644.429999999986</v>
      </c>
      <c r="E29" s="175">
        <f>E30</f>
        <v>7191</v>
      </c>
      <c r="F29" s="193">
        <f t="shared" si="0"/>
        <v>0.15754386679820523</v>
      </c>
    </row>
    <row r="30" spans="1:6" s="44" customFormat="1" ht="12.75">
      <c r="A30" s="77" t="s">
        <v>33</v>
      </c>
      <c r="B30" s="68" t="s">
        <v>109</v>
      </c>
      <c r="C30" s="27" t="s">
        <v>36</v>
      </c>
      <c r="D30" s="69">
        <f>15135.7-700-1324.4-6100.6+200+120+2035.3+50000+15976.9-8610.8-9478.4-500-8771.9-1638-70-500-50-79.37</f>
        <v>45644.429999999986</v>
      </c>
      <c r="E30" s="175">
        <v>7191</v>
      </c>
      <c r="F30" s="193">
        <f t="shared" si="0"/>
        <v>0.15754386679820523</v>
      </c>
    </row>
    <row r="31" spans="1:6" s="44" customFormat="1" ht="12.75">
      <c r="A31" s="77" t="s">
        <v>37</v>
      </c>
      <c r="B31" s="68" t="s">
        <v>109</v>
      </c>
      <c r="C31" s="27" t="s">
        <v>38</v>
      </c>
      <c r="D31" s="69">
        <f>D32</f>
        <v>200</v>
      </c>
      <c r="E31" s="175">
        <f>E32</f>
        <v>150</v>
      </c>
      <c r="F31" s="193">
        <f t="shared" si="0"/>
        <v>0.75</v>
      </c>
    </row>
    <row r="32" spans="1:6" s="44" customFormat="1" ht="12.75">
      <c r="A32" s="77" t="s">
        <v>39</v>
      </c>
      <c r="B32" s="68" t="s">
        <v>109</v>
      </c>
      <c r="C32" s="27" t="s">
        <v>40</v>
      </c>
      <c r="D32" s="69">
        <v>200</v>
      </c>
      <c r="E32" s="175">
        <v>150</v>
      </c>
      <c r="F32" s="193">
        <f t="shared" si="0"/>
        <v>0.75</v>
      </c>
    </row>
    <row r="33" spans="1:6" s="44" customFormat="1" ht="12.75">
      <c r="A33" s="77" t="s">
        <v>110</v>
      </c>
      <c r="B33" s="68" t="s">
        <v>111</v>
      </c>
      <c r="C33" s="136"/>
      <c r="D33" s="69">
        <f>D34</f>
        <v>28534.78</v>
      </c>
      <c r="E33" s="175">
        <f>E34</f>
        <v>22862.53303</v>
      </c>
      <c r="F33" s="193">
        <f t="shared" si="0"/>
        <v>0.8012163762958747</v>
      </c>
    </row>
    <row r="34" spans="1:6" s="44" customFormat="1" ht="12.75">
      <c r="A34" s="77" t="s">
        <v>33</v>
      </c>
      <c r="B34" s="68" t="s">
        <v>111</v>
      </c>
      <c r="C34" s="136" t="s">
        <v>34</v>
      </c>
      <c r="D34" s="69">
        <f>D35</f>
        <v>28534.78</v>
      </c>
      <c r="E34" s="175">
        <f>E35</f>
        <v>22862.53303</v>
      </c>
      <c r="F34" s="193">
        <f t="shared" si="0"/>
        <v>0.8012163762958747</v>
      </c>
    </row>
    <row r="35" spans="1:6" s="44" customFormat="1" ht="25.5">
      <c r="A35" s="77" t="s">
        <v>35</v>
      </c>
      <c r="B35" s="68" t="s">
        <v>111</v>
      </c>
      <c r="C35" s="136" t="s">
        <v>36</v>
      </c>
      <c r="D35" s="69">
        <f>25289.1+2877.73+961.93-415.18-78.8-100</f>
        <v>28534.78</v>
      </c>
      <c r="E35" s="175">
        <v>22862.53303</v>
      </c>
      <c r="F35" s="193">
        <f t="shared" si="0"/>
        <v>0.8012163762958747</v>
      </c>
    </row>
    <row r="36" spans="1:6" s="44" customFormat="1" ht="51">
      <c r="A36" s="77" t="s">
        <v>112</v>
      </c>
      <c r="B36" s="68" t="s">
        <v>113</v>
      </c>
      <c r="C36" s="27"/>
      <c r="D36" s="69">
        <f>D37</f>
        <v>11717.1</v>
      </c>
      <c r="E36" s="175">
        <f>E37</f>
        <v>11607.24999978</v>
      </c>
      <c r="F36" s="193">
        <f t="shared" si="0"/>
        <v>0.990624813288271</v>
      </c>
    </row>
    <row r="37" spans="1:6" s="44" customFormat="1" ht="12.75">
      <c r="A37" s="77" t="s">
        <v>33</v>
      </c>
      <c r="B37" s="68" t="s">
        <v>113</v>
      </c>
      <c r="C37" s="27" t="s">
        <v>34</v>
      </c>
      <c r="D37" s="69">
        <f>D38</f>
        <v>11717.1</v>
      </c>
      <c r="E37" s="175">
        <f>E38</f>
        <v>11607.24999978</v>
      </c>
      <c r="F37" s="193">
        <f t="shared" si="0"/>
        <v>0.990624813288271</v>
      </c>
    </row>
    <row r="38" spans="1:6" s="44" customFormat="1" ht="25.5">
      <c r="A38" s="77" t="s">
        <v>35</v>
      </c>
      <c r="B38" s="68" t="s">
        <v>113</v>
      </c>
      <c r="C38" s="27" t="s">
        <v>36</v>
      </c>
      <c r="D38" s="69">
        <f>11410+649.2-342-0.1</f>
        <v>11717.1</v>
      </c>
      <c r="E38" s="175">
        <v>11607.24999978</v>
      </c>
      <c r="F38" s="193">
        <f t="shared" si="0"/>
        <v>0.990624813288271</v>
      </c>
    </row>
    <row r="39" spans="1:6" s="44" customFormat="1" ht="38.25">
      <c r="A39" s="135" t="s">
        <v>176</v>
      </c>
      <c r="B39" s="65" t="s">
        <v>177</v>
      </c>
      <c r="C39" s="137"/>
      <c r="D39" s="25">
        <f>D40+D42+D45</f>
        <v>48159.42</v>
      </c>
      <c r="E39" s="176">
        <f>E40+E42+E45</f>
        <v>21793.52379</v>
      </c>
      <c r="F39" s="193">
        <f t="shared" si="0"/>
        <v>0.45252878439981215</v>
      </c>
    </row>
    <row r="40" spans="1:6" s="44" customFormat="1" ht="12.75">
      <c r="A40" s="77" t="s">
        <v>33</v>
      </c>
      <c r="B40" s="68" t="s">
        <v>178</v>
      </c>
      <c r="C40" s="136" t="s">
        <v>34</v>
      </c>
      <c r="D40" s="69">
        <f>D41</f>
        <v>14559.419999999998</v>
      </c>
      <c r="E40" s="175">
        <f>E41</f>
        <v>1693.52379</v>
      </c>
      <c r="F40" s="193">
        <f t="shared" si="0"/>
        <v>0.11631808066530124</v>
      </c>
    </row>
    <row r="41" spans="1:6" s="44" customFormat="1" ht="25.5">
      <c r="A41" s="77" t="s">
        <v>35</v>
      </c>
      <c r="B41" s="68" t="s">
        <v>178</v>
      </c>
      <c r="C41" s="136" t="s">
        <v>36</v>
      </c>
      <c r="D41" s="69">
        <f>3322-77+464.8+6628.2-550+1420.9+1676.22+1000+927.4+496.9-750</f>
        <v>14559.419999999998</v>
      </c>
      <c r="E41" s="175">
        <v>1693.52379</v>
      </c>
      <c r="F41" s="193">
        <f t="shared" si="0"/>
        <v>0.11631808066530124</v>
      </c>
    </row>
    <row r="42" spans="1:6" s="44" customFormat="1" ht="76.5">
      <c r="A42" s="28" t="s">
        <v>369</v>
      </c>
      <c r="B42" s="68" t="s">
        <v>370</v>
      </c>
      <c r="C42" s="87"/>
      <c r="D42" s="69">
        <f>D43</f>
        <v>23500</v>
      </c>
      <c r="E42" s="175">
        <f>E43</f>
        <v>10000</v>
      </c>
      <c r="F42" s="193">
        <f t="shared" si="0"/>
        <v>0.425531914893617</v>
      </c>
    </row>
    <row r="43" spans="1:6" s="44" customFormat="1" ht="12.75">
      <c r="A43" s="28" t="s">
        <v>37</v>
      </c>
      <c r="B43" s="68" t="s">
        <v>370</v>
      </c>
      <c r="C43" s="87" t="s">
        <v>38</v>
      </c>
      <c r="D43" s="69">
        <f>D44</f>
        <v>23500</v>
      </c>
      <c r="E43" s="175">
        <f>E44</f>
        <v>10000</v>
      </c>
      <c r="F43" s="193">
        <f t="shared" si="0"/>
        <v>0.425531914893617</v>
      </c>
    </row>
    <row r="44" spans="1:6" s="44" customFormat="1" ht="51">
      <c r="A44" s="28" t="s">
        <v>0</v>
      </c>
      <c r="B44" s="68" t="s">
        <v>370</v>
      </c>
      <c r="C44" s="87" t="s">
        <v>1</v>
      </c>
      <c r="D44" s="69">
        <f>10000+13500</f>
        <v>23500</v>
      </c>
      <c r="E44" s="175">
        <v>10000</v>
      </c>
      <c r="F44" s="193">
        <f t="shared" si="0"/>
        <v>0.425531914893617</v>
      </c>
    </row>
    <row r="45" spans="1:6" s="44" customFormat="1" ht="51">
      <c r="A45" s="89" t="s">
        <v>374</v>
      </c>
      <c r="B45" s="68" t="s">
        <v>373</v>
      </c>
      <c r="C45" s="87"/>
      <c r="D45" s="69">
        <f>D46+D49</f>
        <v>10100</v>
      </c>
      <c r="E45" s="175">
        <f>E46+E49</f>
        <v>10100</v>
      </c>
      <c r="F45" s="193">
        <f t="shared" si="0"/>
        <v>1</v>
      </c>
    </row>
    <row r="46" spans="1:6" s="44" customFormat="1" ht="63.75">
      <c r="A46" s="89" t="s">
        <v>375</v>
      </c>
      <c r="B46" s="68" t="s">
        <v>373</v>
      </c>
      <c r="C46" s="87"/>
      <c r="D46" s="69">
        <f>D47</f>
        <v>6100</v>
      </c>
      <c r="E46" s="175">
        <f>E47</f>
        <v>6100</v>
      </c>
      <c r="F46" s="193">
        <f t="shared" si="0"/>
        <v>1</v>
      </c>
    </row>
    <row r="47" spans="1:6" s="44" customFormat="1" ht="12.75">
      <c r="A47" s="90" t="s">
        <v>37</v>
      </c>
      <c r="B47" s="68" t="s">
        <v>373</v>
      </c>
      <c r="C47" s="87" t="s">
        <v>38</v>
      </c>
      <c r="D47" s="69">
        <f>D48</f>
        <v>6100</v>
      </c>
      <c r="E47" s="175">
        <f>E48</f>
        <v>6100</v>
      </c>
      <c r="F47" s="193">
        <f t="shared" si="0"/>
        <v>1</v>
      </c>
    </row>
    <row r="48" spans="1:6" s="44" customFormat="1" ht="38.25">
      <c r="A48" s="116" t="s">
        <v>372</v>
      </c>
      <c r="B48" s="68" t="s">
        <v>373</v>
      </c>
      <c r="C48" s="87" t="s">
        <v>164</v>
      </c>
      <c r="D48" s="69">
        <v>6100</v>
      </c>
      <c r="E48" s="175">
        <v>6100</v>
      </c>
      <c r="F48" s="193">
        <f t="shared" si="0"/>
        <v>1</v>
      </c>
    </row>
    <row r="49" spans="1:6" s="44" customFormat="1" ht="63.75">
      <c r="A49" s="89" t="s">
        <v>376</v>
      </c>
      <c r="B49" s="68" t="s">
        <v>373</v>
      </c>
      <c r="C49" s="87"/>
      <c r="D49" s="69">
        <f>D50</f>
        <v>4000</v>
      </c>
      <c r="E49" s="175">
        <f>E50</f>
        <v>4000</v>
      </c>
      <c r="F49" s="193">
        <f t="shared" si="0"/>
        <v>1</v>
      </c>
    </row>
    <row r="50" spans="1:6" s="44" customFormat="1" ht="12.75">
      <c r="A50" s="90" t="s">
        <v>37</v>
      </c>
      <c r="B50" s="68" t="s">
        <v>373</v>
      </c>
      <c r="C50" s="87" t="s">
        <v>38</v>
      </c>
      <c r="D50" s="69">
        <f>D51</f>
        <v>4000</v>
      </c>
      <c r="E50" s="175">
        <f>E51</f>
        <v>4000</v>
      </c>
      <c r="F50" s="193">
        <f t="shared" si="0"/>
        <v>1</v>
      </c>
    </row>
    <row r="51" spans="1:6" s="44" customFormat="1" ht="38.25">
      <c r="A51" s="116" t="s">
        <v>372</v>
      </c>
      <c r="B51" s="68" t="s">
        <v>373</v>
      </c>
      <c r="C51" s="87" t="s">
        <v>164</v>
      </c>
      <c r="D51" s="69">
        <v>4000</v>
      </c>
      <c r="E51" s="175">
        <v>4000</v>
      </c>
      <c r="F51" s="193">
        <f t="shared" si="0"/>
        <v>1</v>
      </c>
    </row>
    <row r="52" spans="1:6" ht="25.5">
      <c r="A52" s="135" t="s">
        <v>230</v>
      </c>
      <c r="B52" s="61" t="s">
        <v>231</v>
      </c>
      <c r="C52" s="114"/>
      <c r="D52" s="25">
        <f>D53+D61+D57</f>
        <v>40826.1</v>
      </c>
      <c r="E52" s="176">
        <f>E53+E61+E57</f>
        <v>24766.09371</v>
      </c>
      <c r="F52" s="193">
        <f t="shared" si="0"/>
        <v>0.6066240397686774</v>
      </c>
    </row>
    <row r="53" spans="1:6" s="44" customFormat="1" ht="25.5">
      <c r="A53" s="77" t="s">
        <v>232</v>
      </c>
      <c r="B53" s="68" t="s">
        <v>320</v>
      </c>
      <c r="C53" s="114"/>
      <c r="D53" s="69">
        <f aca="true" t="shared" si="1" ref="D53:E55">D54</f>
        <v>33246.1</v>
      </c>
      <c r="E53" s="175">
        <f t="shared" si="1"/>
        <v>24687.79371</v>
      </c>
      <c r="F53" s="193">
        <f t="shared" si="0"/>
        <v>0.7425771356640328</v>
      </c>
    </row>
    <row r="54" spans="1:6" ht="12.75">
      <c r="A54" s="77" t="s">
        <v>234</v>
      </c>
      <c r="B54" s="68" t="s">
        <v>320</v>
      </c>
      <c r="C54" s="114"/>
      <c r="D54" s="69">
        <f t="shared" si="1"/>
        <v>33246.1</v>
      </c>
      <c r="E54" s="175">
        <f t="shared" si="1"/>
        <v>24687.79371</v>
      </c>
      <c r="F54" s="193">
        <f t="shared" si="0"/>
        <v>0.7425771356640328</v>
      </c>
    </row>
    <row r="55" spans="1:6" ht="25.5">
      <c r="A55" s="77" t="s">
        <v>187</v>
      </c>
      <c r="B55" s="68" t="s">
        <v>320</v>
      </c>
      <c r="C55" s="114" t="s">
        <v>188</v>
      </c>
      <c r="D55" s="69">
        <f t="shared" si="1"/>
        <v>33246.1</v>
      </c>
      <c r="E55" s="175">
        <f t="shared" si="1"/>
        <v>24687.79371</v>
      </c>
      <c r="F55" s="193">
        <f t="shared" si="0"/>
        <v>0.7425771356640328</v>
      </c>
    </row>
    <row r="56" spans="1:6" ht="12.75">
      <c r="A56" s="77" t="s">
        <v>189</v>
      </c>
      <c r="B56" s="68" t="s">
        <v>320</v>
      </c>
      <c r="C56" s="114" t="s">
        <v>190</v>
      </c>
      <c r="D56" s="69">
        <f>26729.1+400+50+420+1000+4647</f>
        <v>33246.1</v>
      </c>
      <c r="E56" s="175">
        <v>24687.79371</v>
      </c>
      <c r="F56" s="193">
        <f t="shared" si="0"/>
        <v>0.7425771356640328</v>
      </c>
    </row>
    <row r="57" spans="1:6" ht="25.5">
      <c r="A57" s="77" t="s">
        <v>235</v>
      </c>
      <c r="B57" s="68" t="s">
        <v>321</v>
      </c>
      <c r="C57" s="114"/>
      <c r="D57" s="69">
        <f>D58</f>
        <v>7500</v>
      </c>
      <c r="E57" s="175">
        <f>E58</f>
        <v>0</v>
      </c>
      <c r="F57" s="193">
        <f t="shared" si="0"/>
        <v>0</v>
      </c>
    </row>
    <row r="58" spans="1:6" ht="12.75">
      <c r="A58" s="77" t="s">
        <v>33</v>
      </c>
      <c r="B58" s="68" t="s">
        <v>321</v>
      </c>
      <c r="C58" s="114" t="s">
        <v>34</v>
      </c>
      <c r="D58" s="69">
        <f>D59</f>
        <v>7500</v>
      </c>
      <c r="E58" s="175">
        <f>E59</f>
        <v>0</v>
      </c>
      <c r="F58" s="193">
        <f t="shared" si="0"/>
        <v>0</v>
      </c>
    </row>
    <row r="59" spans="1:6" ht="25.5">
      <c r="A59" s="28" t="s">
        <v>35</v>
      </c>
      <c r="B59" s="68" t="s">
        <v>321</v>
      </c>
      <c r="C59" s="114" t="s">
        <v>36</v>
      </c>
      <c r="D59" s="69">
        <f>15500-8000</f>
        <v>7500</v>
      </c>
      <c r="E59" s="175">
        <v>0</v>
      </c>
      <c r="F59" s="193">
        <f t="shared" si="0"/>
        <v>0</v>
      </c>
    </row>
    <row r="60" spans="1:6" ht="25.5">
      <c r="A60" s="77" t="s">
        <v>237</v>
      </c>
      <c r="B60" s="68" t="s">
        <v>322</v>
      </c>
      <c r="C60" s="114"/>
      <c r="D60" s="69">
        <f aca="true" t="shared" si="2" ref="D60:E62">D61</f>
        <v>80</v>
      </c>
      <c r="E60" s="175">
        <f t="shared" si="2"/>
        <v>78.3</v>
      </c>
      <c r="F60" s="193">
        <f t="shared" si="0"/>
        <v>0.97875</v>
      </c>
    </row>
    <row r="61" spans="1:6" ht="12.75">
      <c r="A61" s="77" t="s">
        <v>239</v>
      </c>
      <c r="B61" s="68" t="s">
        <v>322</v>
      </c>
      <c r="C61" s="27"/>
      <c r="D61" s="69">
        <f t="shared" si="2"/>
        <v>80</v>
      </c>
      <c r="E61" s="175">
        <f t="shared" si="2"/>
        <v>78.3</v>
      </c>
      <c r="F61" s="193">
        <f t="shared" si="0"/>
        <v>0.97875</v>
      </c>
    </row>
    <row r="62" spans="1:6" ht="12.75">
      <c r="A62" s="77" t="s">
        <v>33</v>
      </c>
      <c r="B62" s="68" t="s">
        <v>322</v>
      </c>
      <c r="C62" s="114" t="s">
        <v>34</v>
      </c>
      <c r="D62" s="69">
        <f t="shared" si="2"/>
        <v>80</v>
      </c>
      <c r="E62" s="175">
        <f t="shared" si="2"/>
        <v>78.3</v>
      </c>
      <c r="F62" s="193">
        <f t="shared" si="0"/>
        <v>0.97875</v>
      </c>
    </row>
    <row r="63" spans="1:6" ht="25.5">
      <c r="A63" s="28" t="s">
        <v>35</v>
      </c>
      <c r="B63" s="68" t="s">
        <v>322</v>
      </c>
      <c r="C63" s="114" t="s">
        <v>36</v>
      </c>
      <c r="D63" s="69">
        <f>450-420+50</f>
        <v>80</v>
      </c>
      <c r="E63" s="175">
        <v>78.3</v>
      </c>
      <c r="F63" s="193">
        <f t="shared" si="0"/>
        <v>0.97875</v>
      </c>
    </row>
    <row r="64" spans="1:6" ht="38.25">
      <c r="A64" s="135" t="s">
        <v>255</v>
      </c>
      <c r="B64" s="61" t="s">
        <v>256</v>
      </c>
      <c r="C64" s="27"/>
      <c r="D64" s="78">
        <f>D65+D68+D104</f>
        <v>99472.528</v>
      </c>
      <c r="E64" s="179">
        <f>E65+E68+E104</f>
        <v>94051.74448000001</v>
      </c>
      <c r="F64" s="193">
        <f t="shared" si="0"/>
        <v>0.945504717443192</v>
      </c>
    </row>
    <row r="65" spans="1:6" ht="25.5">
      <c r="A65" s="77" t="s">
        <v>257</v>
      </c>
      <c r="B65" s="71" t="s">
        <v>259</v>
      </c>
      <c r="C65" s="29"/>
      <c r="D65" s="69">
        <f>D66</f>
        <v>16845.737999999998</v>
      </c>
      <c r="E65" s="175">
        <f>E66</f>
        <v>12231.64474</v>
      </c>
      <c r="F65" s="193">
        <f t="shared" si="0"/>
        <v>0.7260972917897691</v>
      </c>
    </row>
    <row r="66" spans="1:6" ht="25.5">
      <c r="A66" s="77" t="s">
        <v>260</v>
      </c>
      <c r="B66" s="71" t="s">
        <v>259</v>
      </c>
      <c r="C66" s="27" t="s">
        <v>188</v>
      </c>
      <c r="D66" s="69">
        <f>D67</f>
        <v>16845.737999999998</v>
      </c>
      <c r="E66" s="175">
        <f>E67</f>
        <v>12231.64474</v>
      </c>
      <c r="F66" s="193">
        <f t="shared" si="0"/>
        <v>0.7260972917897691</v>
      </c>
    </row>
    <row r="67" spans="1:6" ht="25.5">
      <c r="A67" s="77" t="s">
        <v>187</v>
      </c>
      <c r="B67" s="71" t="s">
        <v>259</v>
      </c>
      <c r="C67" s="114" t="s">
        <v>190</v>
      </c>
      <c r="D67" s="69">
        <f>15035.6+1037.3+172.838+300+300</f>
        <v>16845.737999999998</v>
      </c>
      <c r="E67" s="175">
        <v>12231.64474</v>
      </c>
      <c r="F67" s="193">
        <f t="shared" si="0"/>
        <v>0.7260972917897691</v>
      </c>
    </row>
    <row r="68" spans="1:6" ht="12.75">
      <c r="A68" s="77" t="s">
        <v>263</v>
      </c>
      <c r="B68" s="71" t="s">
        <v>256</v>
      </c>
      <c r="C68" s="114"/>
      <c r="D68" s="76">
        <f>D70</f>
        <v>66330.1</v>
      </c>
      <c r="E68" s="174">
        <f>E70</f>
        <v>65523.5475</v>
      </c>
      <c r="F68" s="193">
        <f t="shared" si="0"/>
        <v>0.9878403243776204</v>
      </c>
    </row>
    <row r="69" spans="1:6" ht="12.75">
      <c r="A69" s="77" t="s">
        <v>264</v>
      </c>
      <c r="B69" s="71" t="s">
        <v>265</v>
      </c>
      <c r="C69" s="114"/>
      <c r="D69" s="76">
        <f aca="true" t="shared" si="3" ref="D69:E71">D70</f>
        <v>66330.1</v>
      </c>
      <c r="E69" s="174">
        <f t="shared" si="3"/>
        <v>65523.5475</v>
      </c>
      <c r="F69" s="193">
        <f t="shared" si="0"/>
        <v>0.9878403243776204</v>
      </c>
    </row>
    <row r="70" spans="1:6" ht="31.5" customHeight="1">
      <c r="A70" s="77" t="s">
        <v>266</v>
      </c>
      <c r="B70" s="71" t="s">
        <v>267</v>
      </c>
      <c r="C70" s="114"/>
      <c r="D70" s="76">
        <f t="shared" si="3"/>
        <v>66330.1</v>
      </c>
      <c r="E70" s="174">
        <f t="shared" si="3"/>
        <v>65523.5475</v>
      </c>
      <c r="F70" s="193">
        <f t="shared" si="0"/>
        <v>0.9878403243776204</v>
      </c>
    </row>
    <row r="71" spans="1:6" ht="12.75">
      <c r="A71" s="28" t="s">
        <v>33</v>
      </c>
      <c r="B71" s="71" t="s">
        <v>267</v>
      </c>
      <c r="C71" s="114" t="s">
        <v>34</v>
      </c>
      <c r="D71" s="76">
        <f t="shared" si="3"/>
        <v>66330.1</v>
      </c>
      <c r="E71" s="174">
        <f t="shared" si="3"/>
        <v>65523.5475</v>
      </c>
      <c r="F71" s="193">
        <f t="shared" si="0"/>
        <v>0.9878403243776204</v>
      </c>
    </row>
    <row r="72" spans="1:6" ht="25.5">
      <c r="A72" s="28" t="s">
        <v>35</v>
      </c>
      <c r="B72" s="71" t="s">
        <v>267</v>
      </c>
      <c r="C72" s="114" t="s">
        <v>36</v>
      </c>
      <c r="D72" s="76">
        <f>53333.3+0.1+12996.7</f>
        <v>66330.1</v>
      </c>
      <c r="E72" s="174">
        <v>65523.5475</v>
      </c>
      <c r="F72" s="193">
        <f t="shared" si="0"/>
        <v>0.9878403243776204</v>
      </c>
    </row>
    <row r="73" spans="1:6" ht="30" customHeight="1" hidden="1">
      <c r="A73" s="135" t="s">
        <v>323</v>
      </c>
      <c r="B73" s="71" t="s">
        <v>115</v>
      </c>
      <c r="C73" s="27"/>
      <c r="D73" s="78">
        <f>D74+D77+D83+D86+D96</f>
        <v>45143.164</v>
      </c>
      <c r="E73" s="179">
        <f>E74+E77+E83+E86+E96</f>
        <v>45143.164</v>
      </c>
      <c r="F73" s="193">
        <f t="shared" si="0"/>
        <v>1</v>
      </c>
    </row>
    <row r="74" spans="1:6" s="44" customFormat="1" ht="15" customHeight="1" hidden="1">
      <c r="A74" s="77" t="s">
        <v>324</v>
      </c>
      <c r="B74" s="71" t="s">
        <v>325</v>
      </c>
      <c r="C74" s="27"/>
      <c r="D74" s="69">
        <f>D75</f>
        <v>3616.864</v>
      </c>
      <c r="E74" s="175">
        <f>E75</f>
        <v>3616.864</v>
      </c>
      <c r="F74" s="193">
        <f t="shared" si="0"/>
        <v>1</v>
      </c>
    </row>
    <row r="75" spans="1:6" ht="15" customHeight="1" hidden="1">
      <c r="A75" s="28" t="s">
        <v>33</v>
      </c>
      <c r="B75" s="71" t="s">
        <v>325</v>
      </c>
      <c r="C75" s="27" t="s">
        <v>34</v>
      </c>
      <c r="D75" s="69">
        <f>D76</f>
        <v>3616.864</v>
      </c>
      <c r="E75" s="175">
        <f>E76</f>
        <v>3616.864</v>
      </c>
      <c r="F75" s="193">
        <f t="shared" si="0"/>
        <v>1</v>
      </c>
    </row>
    <row r="76" spans="1:6" ht="15" customHeight="1" hidden="1">
      <c r="A76" s="28" t="s">
        <v>35</v>
      </c>
      <c r="B76" s="71" t="s">
        <v>325</v>
      </c>
      <c r="C76" s="27" t="s">
        <v>36</v>
      </c>
      <c r="D76" s="69">
        <v>3616.864</v>
      </c>
      <c r="E76" s="175">
        <v>3616.864</v>
      </c>
      <c r="F76" s="193">
        <f aca="true" t="shared" si="4" ref="F76:F139">E76/D76</f>
        <v>1</v>
      </c>
    </row>
    <row r="77" spans="1:6" s="44" customFormat="1" ht="15" customHeight="1" hidden="1">
      <c r="A77" s="77" t="s">
        <v>326</v>
      </c>
      <c r="B77" s="71" t="s">
        <v>327</v>
      </c>
      <c r="C77" s="27"/>
      <c r="D77" s="69">
        <f>D78</f>
        <v>10739.3</v>
      </c>
      <c r="E77" s="175">
        <f>E78</f>
        <v>10739.3</v>
      </c>
      <c r="F77" s="193">
        <f t="shared" si="4"/>
        <v>1</v>
      </c>
    </row>
    <row r="78" spans="1:6" ht="15" customHeight="1" hidden="1">
      <c r="A78" s="28" t="s">
        <v>33</v>
      </c>
      <c r="B78" s="71" t="s">
        <v>327</v>
      </c>
      <c r="C78" s="27" t="s">
        <v>34</v>
      </c>
      <c r="D78" s="69">
        <f>D79</f>
        <v>10739.3</v>
      </c>
      <c r="E78" s="175">
        <f>E79</f>
        <v>10739.3</v>
      </c>
      <c r="F78" s="193">
        <f t="shared" si="4"/>
        <v>1</v>
      </c>
    </row>
    <row r="79" spans="1:6" ht="15" customHeight="1" hidden="1">
      <c r="A79" s="28" t="s">
        <v>35</v>
      </c>
      <c r="B79" s="71" t="s">
        <v>327</v>
      </c>
      <c r="C79" s="27" t="s">
        <v>36</v>
      </c>
      <c r="D79" s="76">
        <f>7739.3+3000</f>
        <v>10739.3</v>
      </c>
      <c r="E79" s="174">
        <f>7739.3+3000</f>
        <v>10739.3</v>
      </c>
      <c r="F79" s="193">
        <f t="shared" si="4"/>
        <v>1</v>
      </c>
    </row>
    <row r="80" spans="1:6" ht="77.25" customHeight="1" hidden="1">
      <c r="A80" s="40" t="s">
        <v>328</v>
      </c>
      <c r="B80" s="71" t="s">
        <v>329</v>
      </c>
      <c r="C80" s="27"/>
      <c r="D80" s="76"/>
      <c r="E80" s="174"/>
      <c r="F80" s="193" t="e">
        <f t="shared" si="4"/>
        <v>#DIV/0!</v>
      </c>
    </row>
    <row r="81" spans="1:6" ht="15" customHeight="1" hidden="1">
      <c r="A81" s="28" t="s">
        <v>33</v>
      </c>
      <c r="B81" s="71" t="s">
        <v>329</v>
      </c>
      <c r="C81" s="27" t="s">
        <v>34</v>
      </c>
      <c r="D81" s="76"/>
      <c r="E81" s="174"/>
      <c r="F81" s="193" t="e">
        <f t="shared" si="4"/>
        <v>#DIV/0!</v>
      </c>
    </row>
    <row r="82" spans="1:6" ht="15" customHeight="1" hidden="1">
      <c r="A82" s="28" t="s">
        <v>35</v>
      </c>
      <c r="B82" s="71" t="s">
        <v>329</v>
      </c>
      <c r="C82" s="27" t="s">
        <v>36</v>
      </c>
      <c r="D82" s="76"/>
      <c r="E82" s="174"/>
      <c r="F82" s="193" t="e">
        <f t="shared" si="4"/>
        <v>#DIV/0!</v>
      </c>
    </row>
    <row r="83" spans="1:6" s="44" customFormat="1" ht="15" customHeight="1" hidden="1">
      <c r="A83" s="77" t="s">
        <v>330</v>
      </c>
      <c r="B83" s="71" t="s">
        <v>331</v>
      </c>
      <c r="C83" s="27"/>
      <c r="D83" s="69">
        <f>D84</f>
        <v>5658.2</v>
      </c>
      <c r="E83" s="175">
        <f>E84</f>
        <v>5658.2</v>
      </c>
      <c r="F83" s="193">
        <f t="shared" si="4"/>
        <v>1</v>
      </c>
    </row>
    <row r="84" spans="1:6" ht="30.75" customHeight="1" hidden="1">
      <c r="A84" s="77" t="s">
        <v>187</v>
      </c>
      <c r="B84" s="71" t="s">
        <v>331</v>
      </c>
      <c r="C84" s="27" t="s">
        <v>188</v>
      </c>
      <c r="D84" s="69">
        <f>D85</f>
        <v>5658.2</v>
      </c>
      <c r="E84" s="175">
        <f>E85</f>
        <v>5658.2</v>
      </c>
      <c r="F84" s="193">
        <f t="shared" si="4"/>
        <v>1</v>
      </c>
    </row>
    <row r="85" spans="1:6" ht="15" customHeight="1" hidden="1">
      <c r="A85" s="77" t="s">
        <v>189</v>
      </c>
      <c r="B85" s="71" t="s">
        <v>331</v>
      </c>
      <c r="C85" s="27" t="s">
        <v>190</v>
      </c>
      <c r="D85" s="69">
        <f>5423.2+235</f>
        <v>5658.2</v>
      </c>
      <c r="E85" s="175">
        <f>5423.2+235</f>
        <v>5658.2</v>
      </c>
      <c r="F85" s="193">
        <f t="shared" si="4"/>
        <v>1</v>
      </c>
    </row>
    <row r="86" spans="1:6" s="44" customFormat="1" ht="15" customHeight="1" hidden="1">
      <c r="A86" s="77" t="s">
        <v>332</v>
      </c>
      <c r="B86" s="71" t="s">
        <v>333</v>
      </c>
      <c r="C86" s="27"/>
      <c r="D86" s="69">
        <f>D87+D89</f>
        <v>9435.4</v>
      </c>
      <c r="E86" s="175">
        <f>E87+E89</f>
        <v>9435.4</v>
      </c>
      <c r="F86" s="193">
        <f t="shared" si="4"/>
        <v>1</v>
      </c>
    </row>
    <row r="87" spans="1:6" ht="15" customHeight="1" hidden="1">
      <c r="A87" s="28" t="s">
        <v>33</v>
      </c>
      <c r="B87" s="71" t="s">
        <v>334</v>
      </c>
      <c r="C87" s="27" t="s">
        <v>34</v>
      </c>
      <c r="D87" s="69">
        <f>D88</f>
        <v>1000</v>
      </c>
      <c r="E87" s="175">
        <f>E88</f>
        <v>1000</v>
      </c>
      <c r="F87" s="193">
        <f t="shared" si="4"/>
        <v>1</v>
      </c>
    </row>
    <row r="88" spans="1:6" ht="15" customHeight="1" hidden="1">
      <c r="A88" s="28" t="s">
        <v>35</v>
      </c>
      <c r="B88" s="71" t="s">
        <v>334</v>
      </c>
      <c r="C88" s="27" t="s">
        <v>36</v>
      </c>
      <c r="D88" s="76">
        <v>1000</v>
      </c>
      <c r="E88" s="174">
        <v>1000</v>
      </c>
      <c r="F88" s="193">
        <f t="shared" si="4"/>
        <v>1</v>
      </c>
    </row>
    <row r="89" spans="1:6" ht="46.5" customHeight="1" hidden="1">
      <c r="A89" s="67" t="s">
        <v>212</v>
      </c>
      <c r="B89" s="71" t="s">
        <v>335</v>
      </c>
      <c r="C89" s="27"/>
      <c r="D89" s="69">
        <f>D90+D92+D94</f>
        <v>8435.4</v>
      </c>
      <c r="E89" s="175">
        <f>E90+E92+E94</f>
        <v>8435.4</v>
      </c>
      <c r="F89" s="193">
        <f t="shared" si="4"/>
        <v>1</v>
      </c>
    </row>
    <row r="90" spans="1:6" ht="46.5" customHeight="1" hidden="1">
      <c r="A90" s="67" t="s">
        <v>19</v>
      </c>
      <c r="B90" s="71" t="s">
        <v>335</v>
      </c>
      <c r="C90" s="114" t="s">
        <v>20</v>
      </c>
      <c r="D90" s="69">
        <f>D91</f>
        <v>5845.4</v>
      </c>
      <c r="E90" s="175">
        <f>E91</f>
        <v>5845.4</v>
      </c>
      <c r="F90" s="193">
        <f t="shared" si="4"/>
        <v>1</v>
      </c>
    </row>
    <row r="91" spans="1:6" ht="15" customHeight="1" hidden="1">
      <c r="A91" s="67" t="s">
        <v>80</v>
      </c>
      <c r="B91" s="71" t="s">
        <v>335</v>
      </c>
      <c r="C91" s="114" t="s">
        <v>81</v>
      </c>
      <c r="D91" s="69">
        <v>5845.4</v>
      </c>
      <c r="E91" s="175">
        <v>5845.4</v>
      </c>
      <c r="F91" s="193">
        <f t="shared" si="4"/>
        <v>1</v>
      </c>
    </row>
    <row r="92" spans="1:6" ht="15" customHeight="1" hidden="1">
      <c r="A92" s="77" t="s">
        <v>33</v>
      </c>
      <c r="B92" s="71" t="s">
        <v>335</v>
      </c>
      <c r="C92" s="27" t="s">
        <v>34</v>
      </c>
      <c r="D92" s="69">
        <f>D93</f>
        <v>2580</v>
      </c>
      <c r="E92" s="175">
        <f>E93</f>
        <v>2580</v>
      </c>
      <c r="F92" s="193">
        <f t="shared" si="4"/>
        <v>1</v>
      </c>
    </row>
    <row r="93" spans="1:6" ht="15" customHeight="1" hidden="1">
      <c r="A93" s="77" t="s">
        <v>35</v>
      </c>
      <c r="B93" s="71" t="s">
        <v>335</v>
      </c>
      <c r="C93" s="27" t="s">
        <v>36</v>
      </c>
      <c r="D93" s="69">
        <v>2580</v>
      </c>
      <c r="E93" s="175">
        <v>2580</v>
      </c>
      <c r="F93" s="193">
        <f t="shared" si="4"/>
        <v>1</v>
      </c>
    </row>
    <row r="94" spans="1:6" ht="15" customHeight="1" hidden="1">
      <c r="A94" s="28" t="s">
        <v>37</v>
      </c>
      <c r="B94" s="71" t="s">
        <v>335</v>
      </c>
      <c r="C94" s="27" t="s">
        <v>38</v>
      </c>
      <c r="D94" s="69">
        <f>D95</f>
        <v>10</v>
      </c>
      <c r="E94" s="175">
        <f>E95</f>
        <v>10</v>
      </c>
      <c r="F94" s="193">
        <f t="shared" si="4"/>
        <v>1</v>
      </c>
    </row>
    <row r="95" spans="1:6" ht="15" customHeight="1" hidden="1">
      <c r="A95" s="28" t="s">
        <v>39</v>
      </c>
      <c r="B95" s="71" t="s">
        <v>335</v>
      </c>
      <c r="C95" s="27" t="s">
        <v>40</v>
      </c>
      <c r="D95" s="69">
        <v>10</v>
      </c>
      <c r="E95" s="175">
        <v>10</v>
      </c>
      <c r="F95" s="193">
        <f t="shared" si="4"/>
        <v>1</v>
      </c>
    </row>
    <row r="96" spans="1:6" ht="15" customHeight="1" hidden="1">
      <c r="A96" s="77" t="s">
        <v>336</v>
      </c>
      <c r="B96" s="71" t="s">
        <v>337</v>
      </c>
      <c r="C96" s="27"/>
      <c r="D96" s="69">
        <f>D97+D99</f>
        <v>15693.4</v>
      </c>
      <c r="E96" s="175">
        <f>E97+E99</f>
        <v>15693.4</v>
      </c>
      <c r="F96" s="193">
        <f t="shared" si="4"/>
        <v>1</v>
      </c>
    </row>
    <row r="97" spans="1:6" ht="15" customHeight="1" hidden="1">
      <c r="A97" s="28" t="s">
        <v>33</v>
      </c>
      <c r="B97" s="71" t="s">
        <v>338</v>
      </c>
      <c r="C97" s="27" t="s">
        <v>34</v>
      </c>
      <c r="D97" s="69">
        <f>D98</f>
        <v>400</v>
      </c>
      <c r="E97" s="175">
        <f>E98</f>
        <v>400</v>
      </c>
      <c r="F97" s="193">
        <f t="shared" si="4"/>
        <v>1</v>
      </c>
    </row>
    <row r="98" spans="1:6" ht="15" customHeight="1" hidden="1">
      <c r="A98" s="28" t="s">
        <v>35</v>
      </c>
      <c r="B98" s="71" t="s">
        <v>338</v>
      </c>
      <c r="C98" s="27" t="s">
        <v>36</v>
      </c>
      <c r="D98" s="76">
        <v>400</v>
      </c>
      <c r="E98" s="174">
        <v>400</v>
      </c>
      <c r="F98" s="193">
        <f t="shared" si="4"/>
        <v>1</v>
      </c>
    </row>
    <row r="99" spans="1:6" ht="30.75" customHeight="1" hidden="1">
      <c r="A99" s="77" t="s">
        <v>187</v>
      </c>
      <c r="B99" s="71" t="s">
        <v>339</v>
      </c>
      <c r="C99" s="27" t="s">
        <v>188</v>
      </c>
      <c r="D99" s="69">
        <f>D100</f>
        <v>15293.4</v>
      </c>
      <c r="E99" s="175">
        <f>E100</f>
        <v>15293.4</v>
      </c>
      <c r="F99" s="193">
        <f t="shared" si="4"/>
        <v>1</v>
      </c>
    </row>
    <row r="100" spans="1:6" ht="15" customHeight="1" hidden="1">
      <c r="A100" s="77" t="s">
        <v>189</v>
      </c>
      <c r="B100" s="71" t="s">
        <v>339</v>
      </c>
      <c r="C100" s="27" t="s">
        <v>190</v>
      </c>
      <c r="D100" s="69">
        <f>14235+458.4+600</f>
        <v>15293.4</v>
      </c>
      <c r="E100" s="175">
        <f>14235+458.4+600</f>
        <v>15293.4</v>
      </c>
      <c r="F100" s="193">
        <f t="shared" si="4"/>
        <v>1</v>
      </c>
    </row>
    <row r="101" spans="1:6" ht="61.5" customHeight="1" hidden="1">
      <c r="A101" s="84" t="s">
        <v>340</v>
      </c>
      <c r="B101" s="71" t="s">
        <v>341</v>
      </c>
      <c r="C101" s="27"/>
      <c r="D101" s="69"/>
      <c r="E101" s="175"/>
      <c r="F101" s="193" t="e">
        <f t="shared" si="4"/>
        <v>#DIV/0!</v>
      </c>
    </row>
    <row r="102" spans="1:6" ht="15" customHeight="1" hidden="1">
      <c r="A102" s="28" t="s">
        <v>33</v>
      </c>
      <c r="B102" s="71" t="s">
        <v>341</v>
      </c>
      <c r="C102" s="27" t="s">
        <v>34</v>
      </c>
      <c r="D102" s="69"/>
      <c r="E102" s="175"/>
      <c r="F102" s="193" t="e">
        <f t="shared" si="4"/>
        <v>#DIV/0!</v>
      </c>
    </row>
    <row r="103" spans="1:6" ht="15" customHeight="1" hidden="1">
      <c r="A103" s="28" t="s">
        <v>35</v>
      </c>
      <c r="B103" s="71" t="s">
        <v>341</v>
      </c>
      <c r="C103" s="27" t="s">
        <v>36</v>
      </c>
      <c r="D103" s="69"/>
      <c r="E103" s="175"/>
      <c r="F103" s="193" t="e">
        <f t="shared" si="4"/>
        <v>#DIV/0!</v>
      </c>
    </row>
    <row r="104" spans="1:6" ht="15" customHeight="1">
      <c r="A104" s="28" t="s">
        <v>268</v>
      </c>
      <c r="B104" s="71" t="s">
        <v>269</v>
      </c>
      <c r="C104" s="114"/>
      <c r="D104" s="76">
        <f>D105</f>
        <v>16296.69</v>
      </c>
      <c r="E104" s="174">
        <f>E105</f>
        <v>16296.55224</v>
      </c>
      <c r="F104" s="193">
        <f t="shared" si="4"/>
        <v>0.9999915467496774</v>
      </c>
    </row>
    <row r="105" spans="1:6" ht="15" customHeight="1">
      <c r="A105" s="28" t="s">
        <v>33</v>
      </c>
      <c r="B105" s="71" t="s">
        <v>269</v>
      </c>
      <c r="C105" s="114" t="s">
        <v>34</v>
      </c>
      <c r="D105" s="76">
        <f>D106</f>
        <v>16296.69</v>
      </c>
      <c r="E105" s="174">
        <f>E106</f>
        <v>16296.55224</v>
      </c>
      <c r="F105" s="193">
        <f t="shared" si="4"/>
        <v>0.9999915467496774</v>
      </c>
    </row>
    <row r="106" spans="1:6" ht="15" customHeight="1">
      <c r="A106" s="28" t="s">
        <v>35</v>
      </c>
      <c r="B106" s="71" t="s">
        <v>269</v>
      </c>
      <c r="C106" s="114" t="s">
        <v>36</v>
      </c>
      <c r="D106" s="76">
        <f>14964.69+1332</f>
        <v>16296.69</v>
      </c>
      <c r="E106" s="174">
        <v>16296.55224</v>
      </c>
      <c r="F106" s="193">
        <f t="shared" si="4"/>
        <v>0.9999915467496774</v>
      </c>
    </row>
    <row r="107" spans="1:6" s="44" customFormat="1" ht="38.25">
      <c r="A107" s="120" t="s">
        <v>114</v>
      </c>
      <c r="B107" s="61" t="s">
        <v>115</v>
      </c>
      <c r="C107" s="29"/>
      <c r="D107" s="78">
        <f>D108+D117+D166+D181</f>
        <v>107502.22554000001</v>
      </c>
      <c r="E107" s="179">
        <f>E108+E117+E166+E181</f>
        <v>71814.82984</v>
      </c>
      <c r="F107" s="193">
        <f t="shared" si="4"/>
        <v>0.6680310986983126</v>
      </c>
    </row>
    <row r="108" spans="1:6" s="44" customFormat="1" ht="12.75">
      <c r="A108" s="77" t="s">
        <v>116</v>
      </c>
      <c r="B108" s="71" t="s">
        <v>117</v>
      </c>
      <c r="C108" s="27"/>
      <c r="D108" s="69">
        <f>D109</f>
        <v>11997.9606</v>
      </c>
      <c r="E108" s="175">
        <f>E109</f>
        <v>6864.51465</v>
      </c>
      <c r="F108" s="193">
        <f t="shared" si="4"/>
        <v>0.5721401227138552</v>
      </c>
    </row>
    <row r="109" spans="1:6" s="44" customFormat="1" ht="12.75">
      <c r="A109" s="83" t="s">
        <v>118</v>
      </c>
      <c r="B109" s="71" t="s">
        <v>119</v>
      </c>
      <c r="C109" s="27"/>
      <c r="D109" s="69">
        <f>D110+D113</f>
        <v>11997.9606</v>
      </c>
      <c r="E109" s="175">
        <f>E110+E113</f>
        <v>6864.51465</v>
      </c>
      <c r="F109" s="193">
        <f t="shared" si="4"/>
        <v>0.5721401227138552</v>
      </c>
    </row>
    <row r="110" spans="1:6" s="44" customFormat="1" ht="12.75">
      <c r="A110" s="77" t="s">
        <v>120</v>
      </c>
      <c r="B110" s="71" t="s">
        <v>121</v>
      </c>
      <c r="C110" s="27"/>
      <c r="D110" s="69">
        <f>D111</f>
        <v>4968.2706</v>
      </c>
      <c r="E110" s="175">
        <f>E111</f>
        <v>0</v>
      </c>
      <c r="F110" s="193">
        <f t="shared" si="4"/>
        <v>0</v>
      </c>
    </row>
    <row r="111" spans="1:6" s="44" customFormat="1" ht="12.75">
      <c r="A111" s="77" t="s">
        <v>33</v>
      </c>
      <c r="B111" s="71" t="s">
        <v>121</v>
      </c>
      <c r="C111" s="27" t="s">
        <v>34</v>
      </c>
      <c r="D111" s="69">
        <f>D112</f>
        <v>4968.2706</v>
      </c>
      <c r="E111" s="175">
        <f>E112</f>
        <v>0</v>
      </c>
      <c r="F111" s="193">
        <f t="shared" si="4"/>
        <v>0</v>
      </c>
    </row>
    <row r="112" spans="1:6" s="44" customFormat="1" ht="25.5">
      <c r="A112" s="77" t="s">
        <v>35</v>
      </c>
      <c r="B112" s="71" t="s">
        <v>121</v>
      </c>
      <c r="C112" s="27" t="s">
        <v>36</v>
      </c>
      <c r="D112" s="69">
        <f>800+4500-331.7294</f>
        <v>4968.2706</v>
      </c>
      <c r="E112" s="175">
        <v>0</v>
      </c>
      <c r="F112" s="193">
        <f t="shared" si="4"/>
        <v>0</v>
      </c>
    </row>
    <row r="113" spans="1:6" s="44" customFormat="1" ht="25.5">
      <c r="A113" s="77" t="s">
        <v>342</v>
      </c>
      <c r="B113" s="71" t="s">
        <v>124</v>
      </c>
      <c r="C113" s="27"/>
      <c r="D113" s="69">
        <f aca="true" t="shared" si="5" ref="D113:E115">D114</f>
        <v>7029.6900000000005</v>
      </c>
      <c r="E113" s="175">
        <f t="shared" si="5"/>
        <v>6864.51465</v>
      </c>
      <c r="F113" s="193">
        <f t="shared" si="4"/>
        <v>0.97650318150587</v>
      </c>
    </row>
    <row r="114" spans="1:6" s="44" customFormat="1" ht="16.5" customHeight="1">
      <c r="A114" s="77" t="s">
        <v>125</v>
      </c>
      <c r="B114" s="71" t="s">
        <v>126</v>
      </c>
      <c r="C114" s="27"/>
      <c r="D114" s="69">
        <f t="shared" si="5"/>
        <v>7029.6900000000005</v>
      </c>
      <c r="E114" s="175">
        <f t="shared" si="5"/>
        <v>6864.51465</v>
      </c>
      <c r="F114" s="193">
        <f t="shared" si="4"/>
        <v>0.97650318150587</v>
      </c>
    </row>
    <row r="115" spans="1:6" s="44" customFormat="1" ht="12.75">
      <c r="A115" s="77" t="s">
        <v>33</v>
      </c>
      <c r="B115" s="71" t="s">
        <v>126</v>
      </c>
      <c r="C115" s="27" t="s">
        <v>34</v>
      </c>
      <c r="D115" s="69">
        <f t="shared" si="5"/>
        <v>7029.6900000000005</v>
      </c>
      <c r="E115" s="175">
        <f t="shared" si="5"/>
        <v>6864.51465</v>
      </c>
      <c r="F115" s="193">
        <f t="shared" si="4"/>
        <v>0.97650318150587</v>
      </c>
    </row>
    <row r="116" spans="1:6" s="44" customFormat="1" ht="25.5">
      <c r="A116" s="77" t="s">
        <v>35</v>
      </c>
      <c r="B116" s="71" t="s">
        <v>126</v>
      </c>
      <c r="C116" s="27" t="s">
        <v>36</v>
      </c>
      <c r="D116" s="69">
        <f>2759.13+2962.46+1308.1</f>
        <v>7029.6900000000005</v>
      </c>
      <c r="E116" s="175">
        <v>6864.51465</v>
      </c>
      <c r="F116" s="193">
        <f t="shared" si="4"/>
        <v>0.97650318150587</v>
      </c>
    </row>
    <row r="117" spans="1:6" ht="12.75">
      <c r="A117" s="77" t="s">
        <v>181</v>
      </c>
      <c r="B117" s="71" t="s">
        <v>182</v>
      </c>
      <c r="C117" s="27"/>
      <c r="D117" s="95">
        <f>D118+D131+D145+D155</f>
        <v>80556.07545</v>
      </c>
      <c r="E117" s="180">
        <f>E118+E131+E145+E155</f>
        <v>55614.689410000006</v>
      </c>
      <c r="F117" s="193">
        <f t="shared" si="4"/>
        <v>0.6903847922000526</v>
      </c>
    </row>
    <row r="118" spans="1:6" ht="25.5">
      <c r="A118" s="83" t="s">
        <v>183</v>
      </c>
      <c r="B118" s="71" t="s">
        <v>184</v>
      </c>
      <c r="C118" s="27"/>
      <c r="D118" s="95">
        <f>D119+D122+D125+D128</f>
        <v>29281.7958</v>
      </c>
      <c r="E118" s="180">
        <f>E119+E122+E125+E128</f>
        <v>25908.612409999998</v>
      </c>
      <c r="F118" s="193">
        <f t="shared" si="4"/>
        <v>0.8848027145247697</v>
      </c>
    </row>
    <row r="119" spans="1:6" ht="12.75">
      <c r="A119" s="77" t="s">
        <v>185</v>
      </c>
      <c r="B119" s="71" t="s">
        <v>186</v>
      </c>
      <c r="C119" s="27"/>
      <c r="D119" s="95">
        <f>D120</f>
        <v>18462.0838</v>
      </c>
      <c r="E119" s="180">
        <f>E120</f>
        <v>15360.35414</v>
      </c>
      <c r="F119" s="193">
        <f t="shared" si="4"/>
        <v>0.8319946061559963</v>
      </c>
    </row>
    <row r="120" spans="1:6" ht="25.5">
      <c r="A120" s="77" t="s">
        <v>187</v>
      </c>
      <c r="B120" s="71" t="s">
        <v>186</v>
      </c>
      <c r="C120" s="27" t="s">
        <v>188</v>
      </c>
      <c r="D120" s="76">
        <f>D121</f>
        <v>18462.0838</v>
      </c>
      <c r="E120" s="174">
        <f>E121</f>
        <v>15360.35414</v>
      </c>
      <c r="F120" s="193">
        <f t="shared" si="4"/>
        <v>0.8319946061559963</v>
      </c>
    </row>
    <row r="121" spans="1:6" ht="12.75">
      <c r="A121" s="77" t="s">
        <v>189</v>
      </c>
      <c r="B121" s="71" t="s">
        <v>186</v>
      </c>
      <c r="C121" s="27" t="s">
        <v>190</v>
      </c>
      <c r="D121" s="76">
        <f>15293.4+1324.4+830+425.0838+89.2+500</f>
        <v>18462.0838</v>
      </c>
      <c r="E121" s="174">
        <v>15360.35414</v>
      </c>
      <c r="F121" s="193">
        <f t="shared" si="4"/>
        <v>0.8319946061559963</v>
      </c>
    </row>
    <row r="122" spans="1:6" ht="12.75">
      <c r="A122" s="77" t="s">
        <v>191</v>
      </c>
      <c r="B122" s="71" t="s">
        <v>192</v>
      </c>
      <c r="C122" s="27"/>
      <c r="D122" s="95">
        <f>D123</f>
        <v>5658.2</v>
      </c>
      <c r="E122" s="180">
        <f>E123</f>
        <v>5658.2</v>
      </c>
      <c r="F122" s="193">
        <f t="shared" si="4"/>
        <v>1</v>
      </c>
    </row>
    <row r="123" spans="1:6" ht="25.5">
      <c r="A123" s="77" t="s">
        <v>187</v>
      </c>
      <c r="B123" s="71" t="s">
        <v>192</v>
      </c>
      <c r="C123" s="27" t="s">
        <v>188</v>
      </c>
      <c r="D123" s="76">
        <f>D124</f>
        <v>5658.2</v>
      </c>
      <c r="E123" s="174">
        <f>E124</f>
        <v>5658.2</v>
      </c>
      <c r="F123" s="193">
        <f t="shared" si="4"/>
        <v>1</v>
      </c>
    </row>
    <row r="124" spans="1:6" ht="12.75">
      <c r="A124" s="77" t="s">
        <v>189</v>
      </c>
      <c r="B124" s="71" t="s">
        <v>192</v>
      </c>
      <c r="C124" s="27" t="s">
        <v>190</v>
      </c>
      <c r="D124" s="76">
        <v>5658.2</v>
      </c>
      <c r="E124" s="174">
        <v>5658.2</v>
      </c>
      <c r="F124" s="193">
        <f t="shared" si="4"/>
        <v>1</v>
      </c>
    </row>
    <row r="125" spans="1:6" ht="12.75">
      <c r="A125" s="77" t="s">
        <v>193</v>
      </c>
      <c r="B125" s="71" t="s">
        <v>194</v>
      </c>
      <c r="C125" s="138"/>
      <c r="D125" s="76">
        <f>D126</f>
        <v>5061.512000000001</v>
      </c>
      <c r="E125" s="174">
        <f>E126</f>
        <v>4797.25827</v>
      </c>
      <c r="F125" s="193">
        <f t="shared" si="4"/>
        <v>0.9477915433174908</v>
      </c>
    </row>
    <row r="126" spans="1:6" ht="12.75">
      <c r="A126" s="28" t="s">
        <v>33</v>
      </c>
      <c r="B126" s="71" t="s">
        <v>194</v>
      </c>
      <c r="C126" s="27" t="s">
        <v>34</v>
      </c>
      <c r="D126" s="76">
        <f>D127</f>
        <v>5061.512000000001</v>
      </c>
      <c r="E126" s="174">
        <f>E127</f>
        <v>4797.25827</v>
      </c>
      <c r="F126" s="193">
        <f t="shared" si="4"/>
        <v>0.9477915433174908</v>
      </c>
    </row>
    <row r="127" spans="1:6" ht="25.5">
      <c r="A127" s="28" t="s">
        <v>35</v>
      </c>
      <c r="B127" s="71" t="s">
        <v>194</v>
      </c>
      <c r="C127" s="27" t="s">
        <v>36</v>
      </c>
      <c r="D127" s="76">
        <f>4236.6+409.732+415.18</f>
        <v>5061.512000000001</v>
      </c>
      <c r="E127" s="174">
        <v>4797.25827</v>
      </c>
      <c r="F127" s="193">
        <f t="shared" si="4"/>
        <v>0.9477915433174908</v>
      </c>
    </row>
    <row r="128" spans="1:6" ht="12.75">
      <c r="A128" s="77" t="s">
        <v>195</v>
      </c>
      <c r="B128" s="71" t="s">
        <v>196</v>
      </c>
      <c r="C128" s="138"/>
      <c r="D128" s="76">
        <f>D129</f>
        <v>100</v>
      </c>
      <c r="E128" s="174">
        <f>E129</f>
        <v>92.8</v>
      </c>
      <c r="F128" s="193">
        <f t="shared" si="4"/>
        <v>0.9279999999999999</v>
      </c>
    </row>
    <row r="129" spans="1:6" ht="12.75">
      <c r="A129" s="28" t="s">
        <v>33</v>
      </c>
      <c r="B129" s="71" t="s">
        <v>196</v>
      </c>
      <c r="C129" s="27" t="s">
        <v>34</v>
      </c>
      <c r="D129" s="76">
        <f>D130</f>
        <v>100</v>
      </c>
      <c r="E129" s="174">
        <f>E130</f>
        <v>92.8</v>
      </c>
      <c r="F129" s="193">
        <f t="shared" si="4"/>
        <v>0.9279999999999999</v>
      </c>
    </row>
    <row r="130" spans="1:6" ht="25.5">
      <c r="A130" s="28" t="s">
        <v>35</v>
      </c>
      <c r="B130" s="71" t="s">
        <v>196</v>
      </c>
      <c r="C130" s="27" t="s">
        <v>36</v>
      </c>
      <c r="D130" s="76">
        <v>100</v>
      </c>
      <c r="E130" s="174">
        <v>92.8</v>
      </c>
      <c r="F130" s="193">
        <f t="shared" si="4"/>
        <v>0.9279999999999999</v>
      </c>
    </row>
    <row r="131" spans="1:6" ht="12.75">
      <c r="A131" s="83" t="s">
        <v>197</v>
      </c>
      <c r="B131" s="71" t="s">
        <v>198</v>
      </c>
      <c r="C131" s="27"/>
      <c r="D131" s="76">
        <f>D132+D135+D142+D139</f>
        <v>21184.199650000002</v>
      </c>
      <c r="E131" s="174">
        <f>E132+E135+E142+E139</f>
        <v>19162.7926</v>
      </c>
      <c r="F131" s="193">
        <f t="shared" si="4"/>
        <v>0.9045794939909376</v>
      </c>
    </row>
    <row r="132" spans="1:6" ht="12.75">
      <c r="A132" s="77" t="s">
        <v>199</v>
      </c>
      <c r="B132" s="71" t="s">
        <v>200</v>
      </c>
      <c r="C132" s="27"/>
      <c r="D132" s="76">
        <f>D133</f>
        <v>4332.5</v>
      </c>
      <c r="E132" s="174">
        <f>E133</f>
        <v>4096.40437</v>
      </c>
      <c r="F132" s="193">
        <f t="shared" si="4"/>
        <v>0.9455059134448933</v>
      </c>
    </row>
    <row r="133" spans="1:6" ht="12.75">
      <c r="A133" s="28" t="s">
        <v>33</v>
      </c>
      <c r="B133" s="71" t="s">
        <v>200</v>
      </c>
      <c r="C133" s="27" t="s">
        <v>34</v>
      </c>
      <c r="D133" s="76">
        <f>D134</f>
        <v>4332.5</v>
      </c>
      <c r="E133" s="174">
        <f>E134</f>
        <v>4096.40437</v>
      </c>
      <c r="F133" s="193">
        <f t="shared" si="4"/>
        <v>0.9455059134448933</v>
      </c>
    </row>
    <row r="134" spans="1:6" ht="25.5">
      <c r="A134" s="28" t="s">
        <v>35</v>
      </c>
      <c r="B134" s="71" t="s">
        <v>200</v>
      </c>
      <c r="C134" s="27" t="s">
        <v>36</v>
      </c>
      <c r="D134" s="76">
        <f>4513-180.5</f>
        <v>4332.5</v>
      </c>
      <c r="E134" s="174">
        <v>4096.40437</v>
      </c>
      <c r="F134" s="193">
        <f t="shared" si="4"/>
        <v>0.9455059134448933</v>
      </c>
    </row>
    <row r="135" spans="1:6" ht="25.5">
      <c r="A135" s="28" t="s">
        <v>201</v>
      </c>
      <c r="B135" s="71" t="s">
        <v>202</v>
      </c>
      <c r="C135" s="27"/>
      <c r="D135" s="76">
        <f>D136</f>
        <v>6221.219999999999</v>
      </c>
      <c r="E135" s="174">
        <f>E136</f>
        <v>5253.76</v>
      </c>
      <c r="F135" s="193">
        <f t="shared" si="4"/>
        <v>0.8444903089747672</v>
      </c>
    </row>
    <row r="136" spans="1:6" ht="12.75">
      <c r="A136" s="28" t="s">
        <v>33</v>
      </c>
      <c r="B136" s="71" t="s">
        <v>202</v>
      </c>
      <c r="C136" s="27" t="s">
        <v>34</v>
      </c>
      <c r="D136" s="76">
        <f>D137</f>
        <v>6221.219999999999</v>
      </c>
      <c r="E136" s="174">
        <f>E137</f>
        <v>5253.76</v>
      </c>
      <c r="F136" s="193">
        <f t="shared" si="4"/>
        <v>0.8444903089747672</v>
      </c>
    </row>
    <row r="137" spans="1:6" ht="25.5">
      <c r="A137" s="28" t="s">
        <v>35</v>
      </c>
      <c r="B137" s="71" t="s">
        <v>202</v>
      </c>
      <c r="C137" s="27" t="s">
        <v>36</v>
      </c>
      <c r="D137" s="76">
        <f>4000+2196.22+25</f>
        <v>6221.219999999999</v>
      </c>
      <c r="E137" s="174">
        <v>5253.76</v>
      </c>
      <c r="F137" s="193">
        <f t="shared" si="4"/>
        <v>0.8444903089747672</v>
      </c>
    </row>
    <row r="138" spans="1:6" ht="25.5">
      <c r="A138" s="77" t="s">
        <v>342</v>
      </c>
      <c r="B138" s="71" t="s">
        <v>203</v>
      </c>
      <c r="C138" s="27"/>
      <c r="D138" s="76">
        <f aca="true" t="shared" si="6" ref="D138:E140">D139</f>
        <v>7847.120000000001</v>
      </c>
      <c r="E138" s="174">
        <f t="shared" si="6"/>
        <v>7847.0993</v>
      </c>
      <c r="F138" s="193">
        <f t="shared" si="4"/>
        <v>0.9999973620895308</v>
      </c>
    </row>
    <row r="139" spans="1:6" ht="49.5" customHeight="1">
      <c r="A139" s="40" t="s">
        <v>204</v>
      </c>
      <c r="B139" s="71" t="s">
        <v>205</v>
      </c>
      <c r="C139" s="27"/>
      <c r="D139" s="76">
        <f t="shared" si="6"/>
        <v>7847.120000000001</v>
      </c>
      <c r="E139" s="174">
        <f t="shared" si="6"/>
        <v>7847.0993</v>
      </c>
      <c r="F139" s="193">
        <f t="shared" si="4"/>
        <v>0.9999973620895308</v>
      </c>
    </row>
    <row r="140" spans="1:6" ht="12.75">
      <c r="A140" s="28" t="s">
        <v>33</v>
      </c>
      <c r="B140" s="71" t="s">
        <v>205</v>
      </c>
      <c r="C140" s="27" t="s">
        <v>34</v>
      </c>
      <c r="D140" s="76">
        <f t="shared" si="6"/>
        <v>7847.120000000001</v>
      </c>
      <c r="E140" s="174">
        <f t="shared" si="6"/>
        <v>7847.0993</v>
      </c>
      <c r="F140" s="193">
        <f aca="true" t="shared" si="7" ref="F140:F203">E140/D140</f>
        <v>0.9999973620895308</v>
      </c>
    </row>
    <row r="141" spans="1:6" ht="25.5">
      <c r="A141" s="28" t="s">
        <v>35</v>
      </c>
      <c r="B141" s="71" t="s">
        <v>205</v>
      </c>
      <c r="C141" s="27" t="s">
        <v>36</v>
      </c>
      <c r="D141" s="76">
        <f>6513.83+1420.19-86.9</f>
        <v>7847.120000000001</v>
      </c>
      <c r="E141" s="174">
        <v>7847.0993</v>
      </c>
      <c r="F141" s="193">
        <f t="shared" si="7"/>
        <v>0.9999973620895308</v>
      </c>
    </row>
    <row r="142" spans="1:6" ht="12.75">
      <c r="A142" s="77" t="s">
        <v>206</v>
      </c>
      <c r="B142" s="71" t="s">
        <v>207</v>
      </c>
      <c r="C142" s="27"/>
      <c r="D142" s="76">
        <f>D143</f>
        <v>2783.359650000001</v>
      </c>
      <c r="E142" s="174">
        <f>E143</f>
        <v>1965.52893</v>
      </c>
      <c r="F142" s="193">
        <f t="shared" si="7"/>
        <v>0.7061713817687914</v>
      </c>
    </row>
    <row r="143" spans="1:6" ht="12.75">
      <c r="A143" s="28" t="s">
        <v>33</v>
      </c>
      <c r="B143" s="71" t="s">
        <v>207</v>
      </c>
      <c r="C143" s="27" t="s">
        <v>34</v>
      </c>
      <c r="D143" s="76">
        <f>D144</f>
        <v>2783.359650000001</v>
      </c>
      <c r="E143" s="174">
        <f>E144</f>
        <v>1965.52893</v>
      </c>
      <c r="F143" s="193">
        <f t="shared" si="7"/>
        <v>0.7061713817687914</v>
      </c>
    </row>
    <row r="144" spans="1:6" ht="25.5">
      <c r="A144" s="28" t="s">
        <v>35</v>
      </c>
      <c r="B144" s="71" t="s">
        <v>207</v>
      </c>
      <c r="C144" s="27" t="s">
        <v>36</v>
      </c>
      <c r="D144" s="76">
        <f>1300-517.6+110.2+1039.2-70.4+450.13025+331.7294+110.8-15.7+45</f>
        <v>2783.359650000001</v>
      </c>
      <c r="E144" s="174">
        <v>1965.52893</v>
      </c>
      <c r="F144" s="193">
        <f t="shared" si="7"/>
        <v>0.7061713817687914</v>
      </c>
    </row>
    <row r="145" spans="1:6" ht="25.5">
      <c r="A145" s="83" t="s">
        <v>208</v>
      </c>
      <c r="B145" s="71" t="s">
        <v>209</v>
      </c>
      <c r="C145" s="27"/>
      <c r="D145" s="76">
        <f>D146</f>
        <v>8265.2</v>
      </c>
      <c r="E145" s="174">
        <f>E146</f>
        <v>6075.91915</v>
      </c>
      <c r="F145" s="193">
        <f t="shared" si="7"/>
        <v>0.7351206443885204</v>
      </c>
    </row>
    <row r="146" spans="1:6" ht="12.75">
      <c r="A146" s="28" t="s">
        <v>210</v>
      </c>
      <c r="B146" s="71" t="s">
        <v>211</v>
      </c>
      <c r="C146" s="27"/>
      <c r="D146" s="76">
        <f>D147</f>
        <v>8265.2</v>
      </c>
      <c r="E146" s="174">
        <f>E147</f>
        <v>6075.91915</v>
      </c>
      <c r="F146" s="193">
        <f t="shared" si="7"/>
        <v>0.7351206443885204</v>
      </c>
    </row>
    <row r="147" spans="1:6" ht="48" customHeight="1">
      <c r="A147" s="67" t="s">
        <v>212</v>
      </c>
      <c r="B147" s="71" t="s">
        <v>211</v>
      </c>
      <c r="C147" s="27"/>
      <c r="D147" s="76">
        <f>D148+D151+D153</f>
        <v>8265.2</v>
      </c>
      <c r="E147" s="174">
        <f>E148+E151+E153</f>
        <v>6075.91915</v>
      </c>
      <c r="F147" s="193">
        <f t="shared" si="7"/>
        <v>0.7351206443885204</v>
      </c>
    </row>
    <row r="148" spans="1:6" ht="51">
      <c r="A148" s="67" t="s">
        <v>19</v>
      </c>
      <c r="B148" s="71" t="s">
        <v>211</v>
      </c>
      <c r="C148" s="27"/>
      <c r="D148" s="76">
        <f>D149</f>
        <v>6245.4</v>
      </c>
      <c r="E148" s="174">
        <f>E149</f>
        <v>5511.76347</v>
      </c>
      <c r="F148" s="193">
        <f t="shared" si="7"/>
        <v>0.8825316985301181</v>
      </c>
    </row>
    <row r="149" spans="1:6" ht="12.75">
      <c r="A149" s="67" t="s">
        <v>80</v>
      </c>
      <c r="B149" s="71" t="s">
        <v>211</v>
      </c>
      <c r="C149" s="27" t="s">
        <v>20</v>
      </c>
      <c r="D149" s="76">
        <f>D150</f>
        <v>6245.4</v>
      </c>
      <c r="E149" s="174">
        <f>E150</f>
        <v>5511.76347</v>
      </c>
      <c r="F149" s="193">
        <f t="shared" si="7"/>
        <v>0.8825316985301181</v>
      </c>
    </row>
    <row r="150" spans="1:6" ht="12.75">
      <c r="A150" s="77" t="s">
        <v>33</v>
      </c>
      <c r="B150" s="71" t="s">
        <v>211</v>
      </c>
      <c r="C150" s="27" t="s">
        <v>81</v>
      </c>
      <c r="D150" s="76">
        <v>6245.4</v>
      </c>
      <c r="E150" s="174">
        <v>5511.76347</v>
      </c>
      <c r="F150" s="193">
        <f t="shared" si="7"/>
        <v>0.8825316985301181</v>
      </c>
    </row>
    <row r="151" spans="1:6" ht="25.5">
      <c r="A151" s="77" t="s">
        <v>35</v>
      </c>
      <c r="B151" s="71" t="s">
        <v>211</v>
      </c>
      <c r="C151" s="27" t="s">
        <v>34</v>
      </c>
      <c r="D151" s="76">
        <f>D152</f>
        <v>2009.8000000000002</v>
      </c>
      <c r="E151" s="174">
        <f>E152</f>
        <v>564.08788</v>
      </c>
      <c r="F151" s="193">
        <f t="shared" si="7"/>
        <v>0.2806686635486118</v>
      </c>
    </row>
    <row r="152" spans="1:6" ht="12.75">
      <c r="A152" s="67" t="s">
        <v>37</v>
      </c>
      <c r="B152" s="71" t="s">
        <v>211</v>
      </c>
      <c r="C152" s="27" t="s">
        <v>36</v>
      </c>
      <c r="D152" s="76">
        <f>4716.8-2907+200</f>
        <v>2009.8000000000002</v>
      </c>
      <c r="E152" s="174">
        <v>564.08788</v>
      </c>
      <c r="F152" s="193">
        <f t="shared" si="7"/>
        <v>0.2806686635486118</v>
      </c>
    </row>
    <row r="153" spans="1:6" ht="12.75">
      <c r="A153" s="67" t="s">
        <v>39</v>
      </c>
      <c r="B153" s="71" t="s">
        <v>211</v>
      </c>
      <c r="C153" s="27" t="s">
        <v>38</v>
      </c>
      <c r="D153" s="76">
        <f>D154</f>
        <v>10</v>
      </c>
      <c r="E153" s="174">
        <f>E154</f>
        <v>0.0678</v>
      </c>
      <c r="F153" s="193">
        <f t="shared" si="7"/>
        <v>0.00678</v>
      </c>
    </row>
    <row r="154" spans="1:6" ht="12.75">
      <c r="A154" s="67" t="s">
        <v>39</v>
      </c>
      <c r="B154" s="71" t="s">
        <v>211</v>
      </c>
      <c r="C154" s="27" t="s">
        <v>40</v>
      </c>
      <c r="D154" s="76">
        <v>10</v>
      </c>
      <c r="E154" s="174">
        <v>0.0678</v>
      </c>
      <c r="F154" s="193">
        <f t="shared" si="7"/>
        <v>0.00678</v>
      </c>
    </row>
    <row r="155" spans="1:6" ht="12.75">
      <c r="A155" s="83" t="s">
        <v>213</v>
      </c>
      <c r="B155" s="71" t="s">
        <v>214</v>
      </c>
      <c r="C155" s="27"/>
      <c r="D155" s="76">
        <f>D156+D159</f>
        <v>21824.88</v>
      </c>
      <c r="E155" s="174">
        <f>E156+E159</f>
        <v>4467.36525</v>
      </c>
      <c r="F155" s="193">
        <f t="shared" si="7"/>
        <v>0.2046914003650879</v>
      </c>
    </row>
    <row r="156" spans="1:6" ht="12.75">
      <c r="A156" s="77" t="s">
        <v>215</v>
      </c>
      <c r="B156" s="71" t="s">
        <v>216</v>
      </c>
      <c r="C156" s="27"/>
      <c r="D156" s="76">
        <f>D157</f>
        <v>21747</v>
      </c>
      <c r="E156" s="174">
        <f>E157</f>
        <v>4389.4915</v>
      </c>
      <c r="F156" s="193">
        <f t="shared" si="7"/>
        <v>0.2018435416379271</v>
      </c>
    </row>
    <row r="157" spans="1:6" ht="12.75">
      <c r="A157" s="28" t="s">
        <v>33</v>
      </c>
      <c r="B157" s="71" t="s">
        <v>216</v>
      </c>
      <c r="C157" s="27" t="s">
        <v>34</v>
      </c>
      <c r="D157" s="76">
        <f>D158</f>
        <v>21747</v>
      </c>
      <c r="E157" s="174">
        <f>E158</f>
        <v>4389.4915</v>
      </c>
      <c r="F157" s="193">
        <f t="shared" si="7"/>
        <v>0.2018435416379271</v>
      </c>
    </row>
    <row r="158" spans="1:6" ht="25.5">
      <c r="A158" s="28" t="s">
        <v>35</v>
      </c>
      <c r="B158" s="71" t="s">
        <v>216</v>
      </c>
      <c r="C158" s="27" t="s">
        <v>36</v>
      </c>
      <c r="D158" s="76">
        <f>2400-2000+750+200+90+550+60050-37750-7000-1000+1200-200+2877+1080+500</f>
        <v>21747</v>
      </c>
      <c r="E158" s="174">
        <v>4389.4915</v>
      </c>
      <c r="F158" s="193">
        <f t="shared" si="7"/>
        <v>0.2018435416379271</v>
      </c>
    </row>
    <row r="159" spans="1:6" ht="25.5">
      <c r="A159" s="77" t="s">
        <v>380</v>
      </c>
      <c r="B159" s="71" t="s">
        <v>214</v>
      </c>
      <c r="C159" s="27"/>
      <c r="D159" s="76">
        <f>D160+D163</f>
        <v>77.87999999999978</v>
      </c>
      <c r="E159" s="174">
        <f>E160+E163</f>
        <v>77.87374999999979</v>
      </c>
      <c r="F159" s="193">
        <f t="shared" si="7"/>
        <v>0.9999197483307654</v>
      </c>
    </row>
    <row r="160" spans="1:6" ht="25.5">
      <c r="A160" s="84" t="s">
        <v>217</v>
      </c>
      <c r="B160" s="71" t="s">
        <v>381</v>
      </c>
      <c r="C160" s="27"/>
      <c r="D160" s="76">
        <f>D161</f>
        <v>77.89</v>
      </c>
      <c r="E160" s="174">
        <f>E161</f>
        <v>77.88375</v>
      </c>
      <c r="F160" s="193">
        <f t="shared" si="7"/>
        <v>0.9999197586339711</v>
      </c>
    </row>
    <row r="161" spans="1:6" ht="12.75">
      <c r="A161" s="28" t="s">
        <v>33</v>
      </c>
      <c r="B161" s="71" t="s">
        <v>381</v>
      </c>
      <c r="C161" s="27" t="s">
        <v>34</v>
      </c>
      <c r="D161" s="76">
        <f>D162</f>
        <v>77.89</v>
      </c>
      <c r="E161" s="174">
        <f>E162</f>
        <v>77.88375</v>
      </c>
      <c r="F161" s="193">
        <f t="shared" si="7"/>
        <v>0.9999197586339711</v>
      </c>
    </row>
    <row r="162" spans="1:6" ht="25.5">
      <c r="A162" s="28" t="s">
        <v>35</v>
      </c>
      <c r="B162" s="71" t="s">
        <v>381</v>
      </c>
      <c r="C162" s="27" t="s">
        <v>36</v>
      </c>
      <c r="D162" s="76">
        <v>77.89</v>
      </c>
      <c r="E162" s="174">
        <v>77.88375</v>
      </c>
      <c r="F162" s="193">
        <f t="shared" si="7"/>
        <v>0.9999197586339711</v>
      </c>
    </row>
    <row r="163" spans="1:6" ht="32.25" customHeight="1" hidden="1">
      <c r="A163" s="84" t="s">
        <v>218</v>
      </c>
      <c r="B163" s="71" t="s">
        <v>219</v>
      </c>
      <c r="C163" s="27"/>
      <c r="D163" s="76">
        <f>D164</f>
        <v>-0.010000000000218279</v>
      </c>
      <c r="E163" s="174">
        <f>E164</f>
        <v>-0.010000000000218279</v>
      </c>
      <c r="F163" s="193">
        <f t="shared" si="7"/>
        <v>1</v>
      </c>
    </row>
    <row r="164" spans="1:6" ht="12.75" hidden="1">
      <c r="A164" s="28" t="s">
        <v>33</v>
      </c>
      <c r="B164" s="71" t="s">
        <v>219</v>
      </c>
      <c r="C164" s="27" t="s">
        <v>34</v>
      </c>
      <c r="D164" s="76">
        <f>D165</f>
        <v>-0.010000000000218279</v>
      </c>
      <c r="E164" s="174">
        <f>E165</f>
        <v>-0.010000000000218279</v>
      </c>
      <c r="F164" s="193">
        <f t="shared" si="7"/>
        <v>1</v>
      </c>
    </row>
    <row r="165" spans="1:6" ht="25.5" hidden="1">
      <c r="A165" s="28" t="s">
        <v>35</v>
      </c>
      <c r="B165" s="71" t="s">
        <v>219</v>
      </c>
      <c r="C165" s="27" t="s">
        <v>36</v>
      </c>
      <c r="D165" s="76">
        <f>5673.79+1237-6910.8</f>
        <v>-0.010000000000218279</v>
      </c>
      <c r="E165" s="174">
        <f>5673.79+1237-6910.8</f>
        <v>-0.010000000000218279</v>
      </c>
      <c r="F165" s="193">
        <f t="shared" si="7"/>
        <v>1</v>
      </c>
    </row>
    <row r="166" spans="1:6" ht="25.5">
      <c r="A166" s="77" t="s">
        <v>158</v>
      </c>
      <c r="B166" s="71" t="s">
        <v>159</v>
      </c>
      <c r="C166" s="27"/>
      <c r="D166" s="76">
        <f>D167+D171+D178</f>
        <v>14723.18949</v>
      </c>
      <c r="E166" s="174">
        <f>E167+E171+E178</f>
        <v>9118.51878</v>
      </c>
      <c r="F166" s="193">
        <f t="shared" si="7"/>
        <v>0.619330396188496</v>
      </c>
    </row>
    <row r="167" spans="1:6" ht="25.5">
      <c r="A167" s="83" t="s">
        <v>160</v>
      </c>
      <c r="B167" s="71" t="s">
        <v>161</v>
      </c>
      <c r="C167" s="27"/>
      <c r="D167" s="69">
        <f aca="true" t="shared" si="8" ref="D167:E169">D168</f>
        <v>64.48</v>
      </c>
      <c r="E167" s="175">
        <f t="shared" si="8"/>
        <v>0</v>
      </c>
      <c r="F167" s="193">
        <f t="shared" si="7"/>
        <v>0</v>
      </c>
    </row>
    <row r="168" spans="1:6" ht="51">
      <c r="A168" s="84" t="s">
        <v>306</v>
      </c>
      <c r="B168" s="71" t="s">
        <v>163</v>
      </c>
      <c r="C168" s="27"/>
      <c r="D168" s="69">
        <f t="shared" si="8"/>
        <v>64.48</v>
      </c>
      <c r="E168" s="175">
        <f t="shared" si="8"/>
        <v>0</v>
      </c>
      <c r="F168" s="193">
        <f t="shared" si="7"/>
        <v>0</v>
      </c>
    </row>
    <row r="169" spans="1:6" ht="12.75">
      <c r="A169" s="77" t="s">
        <v>33</v>
      </c>
      <c r="B169" s="71" t="s">
        <v>163</v>
      </c>
      <c r="C169" s="27" t="s">
        <v>38</v>
      </c>
      <c r="D169" s="69">
        <f t="shared" si="8"/>
        <v>64.48</v>
      </c>
      <c r="E169" s="175">
        <f t="shared" si="8"/>
        <v>0</v>
      </c>
      <c r="F169" s="193">
        <f t="shared" si="7"/>
        <v>0</v>
      </c>
    </row>
    <row r="170" spans="1:6" ht="25.5">
      <c r="A170" s="77" t="s">
        <v>35</v>
      </c>
      <c r="B170" s="71" t="s">
        <v>163</v>
      </c>
      <c r="C170" s="27" t="s">
        <v>164</v>
      </c>
      <c r="D170" s="69">
        <v>64.48</v>
      </c>
      <c r="E170" s="175">
        <v>0</v>
      </c>
      <c r="F170" s="193">
        <f t="shared" si="7"/>
        <v>0</v>
      </c>
    </row>
    <row r="171" spans="1:6" ht="38.25">
      <c r="A171" s="83" t="s">
        <v>165</v>
      </c>
      <c r="B171" s="71" t="s">
        <v>166</v>
      </c>
      <c r="C171" s="27"/>
      <c r="D171" s="69">
        <f>D172+D175</f>
        <v>12108.709490000001</v>
      </c>
      <c r="E171" s="175">
        <f>E172+E175</f>
        <v>7073.34974</v>
      </c>
      <c r="F171" s="193">
        <f t="shared" si="7"/>
        <v>0.5841538890532916</v>
      </c>
    </row>
    <row r="172" spans="1:6" ht="25.5">
      <c r="A172" s="28" t="s">
        <v>167</v>
      </c>
      <c r="B172" s="71" t="s">
        <v>168</v>
      </c>
      <c r="C172" s="27"/>
      <c r="D172" s="69">
        <f>D173</f>
        <v>4500</v>
      </c>
      <c r="E172" s="175">
        <f>E173</f>
        <v>3996.61974</v>
      </c>
      <c r="F172" s="193">
        <f t="shared" si="7"/>
        <v>0.88813772</v>
      </c>
    </row>
    <row r="173" spans="1:6" ht="12.75">
      <c r="A173" s="28" t="s">
        <v>33</v>
      </c>
      <c r="B173" s="71" t="s">
        <v>168</v>
      </c>
      <c r="C173" s="27" t="s">
        <v>34</v>
      </c>
      <c r="D173" s="69">
        <f>D174</f>
        <v>4500</v>
      </c>
      <c r="E173" s="175">
        <f>E174</f>
        <v>3996.61974</v>
      </c>
      <c r="F173" s="193">
        <f t="shared" si="7"/>
        <v>0.88813772</v>
      </c>
    </row>
    <row r="174" spans="1:6" ht="25.5">
      <c r="A174" s="28" t="s">
        <v>35</v>
      </c>
      <c r="B174" s="71" t="s">
        <v>168</v>
      </c>
      <c r="C174" s="27" t="s">
        <v>36</v>
      </c>
      <c r="D174" s="69">
        <v>4500</v>
      </c>
      <c r="E174" s="175">
        <v>3996.61974</v>
      </c>
      <c r="F174" s="193">
        <f t="shared" si="7"/>
        <v>0.88813772</v>
      </c>
    </row>
    <row r="175" spans="1:6" ht="12.75">
      <c r="A175" s="28" t="s">
        <v>169</v>
      </c>
      <c r="B175" s="71" t="s">
        <v>168</v>
      </c>
      <c r="C175" s="27"/>
      <c r="D175" s="69">
        <f>D176</f>
        <v>7608.70949</v>
      </c>
      <c r="E175" s="175">
        <f>E176</f>
        <v>3076.73</v>
      </c>
      <c r="F175" s="193">
        <f t="shared" si="7"/>
        <v>0.4043694931504081</v>
      </c>
    </row>
    <row r="176" spans="1:6" ht="12.75">
      <c r="A176" s="28" t="s">
        <v>33</v>
      </c>
      <c r="B176" s="71" t="s">
        <v>168</v>
      </c>
      <c r="C176" s="27" t="s">
        <v>34</v>
      </c>
      <c r="D176" s="69">
        <f>D177</f>
        <v>7608.70949</v>
      </c>
      <c r="E176" s="175">
        <f>E177</f>
        <v>3076.73</v>
      </c>
      <c r="F176" s="193">
        <f t="shared" si="7"/>
        <v>0.4043694931504081</v>
      </c>
    </row>
    <row r="177" spans="1:6" ht="25.5">
      <c r="A177" s="28" t="s">
        <v>35</v>
      </c>
      <c r="B177" s="71" t="s">
        <v>168</v>
      </c>
      <c r="C177" s="27" t="s">
        <v>36</v>
      </c>
      <c r="D177" s="69">
        <f>700+2000+42.08385+776.9326+135+3954.69304</f>
        <v>7608.70949</v>
      </c>
      <c r="E177" s="175">
        <v>3076.73</v>
      </c>
      <c r="F177" s="193">
        <f t="shared" si="7"/>
        <v>0.4043694931504081</v>
      </c>
    </row>
    <row r="178" spans="1:6" ht="38.25">
      <c r="A178" s="85" t="s">
        <v>170</v>
      </c>
      <c r="B178" s="71" t="s">
        <v>171</v>
      </c>
      <c r="C178" s="27"/>
      <c r="D178" s="69">
        <f>D179</f>
        <v>2550</v>
      </c>
      <c r="E178" s="175">
        <f>E179</f>
        <v>2045.16904</v>
      </c>
      <c r="F178" s="193">
        <f t="shared" si="7"/>
        <v>0.8020270745098039</v>
      </c>
    </row>
    <row r="179" spans="1:6" ht="12.75">
      <c r="A179" s="77" t="s">
        <v>33</v>
      </c>
      <c r="B179" s="71" t="s">
        <v>171</v>
      </c>
      <c r="C179" s="27" t="s">
        <v>34</v>
      </c>
      <c r="D179" s="69">
        <f>D180</f>
        <v>2550</v>
      </c>
      <c r="E179" s="175">
        <f>E180</f>
        <v>2045.16904</v>
      </c>
      <c r="F179" s="193">
        <f t="shared" si="7"/>
        <v>0.8020270745098039</v>
      </c>
    </row>
    <row r="180" spans="1:6" ht="25.5">
      <c r="A180" s="28" t="s">
        <v>35</v>
      </c>
      <c r="B180" s="71" t="s">
        <v>171</v>
      </c>
      <c r="C180" s="27" t="s">
        <v>36</v>
      </c>
      <c r="D180" s="69">
        <f>1800+750</f>
        <v>2550</v>
      </c>
      <c r="E180" s="175">
        <v>2045.16904</v>
      </c>
      <c r="F180" s="193">
        <f t="shared" si="7"/>
        <v>0.8020270745098039</v>
      </c>
    </row>
    <row r="181" spans="1:6" ht="25.5">
      <c r="A181" s="77" t="s">
        <v>129</v>
      </c>
      <c r="B181" s="71" t="s">
        <v>130</v>
      </c>
      <c r="C181" s="27"/>
      <c r="D181" s="69">
        <f aca="true" t="shared" si="9" ref="D181:E185">D182</f>
        <v>225</v>
      </c>
      <c r="E181" s="175">
        <f t="shared" si="9"/>
        <v>217.107</v>
      </c>
      <c r="F181" s="193">
        <f t="shared" si="7"/>
        <v>0.96492</v>
      </c>
    </row>
    <row r="182" spans="1:6" ht="25.5">
      <c r="A182" s="83" t="s">
        <v>131</v>
      </c>
      <c r="B182" s="71" t="s">
        <v>130</v>
      </c>
      <c r="C182" s="27"/>
      <c r="D182" s="69">
        <f t="shared" si="9"/>
        <v>225</v>
      </c>
      <c r="E182" s="175">
        <f t="shared" si="9"/>
        <v>217.107</v>
      </c>
      <c r="F182" s="193">
        <f t="shared" si="7"/>
        <v>0.96492</v>
      </c>
    </row>
    <row r="183" spans="1:6" ht="12.75">
      <c r="A183" s="77" t="s">
        <v>133</v>
      </c>
      <c r="B183" s="71" t="s">
        <v>134</v>
      </c>
      <c r="C183" s="27"/>
      <c r="D183" s="69">
        <f t="shared" si="9"/>
        <v>225</v>
      </c>
      <c r="E183" s="175">
        <f t="shared" si="9"/>
        <v>217.107</v>
      </c>
      <c r="F183" s="193">
        <f t="shared" si="7"/>
        <v>0.96492</v>
      </c>
    </row>
    <row r="184" spans="1:6" ht="37.5" customHeight="1">
      <c r="A184" s="77" t="s">
        <v>135</v>
      </c>
      <c r="B184" s="71" t="s">
        <v>136</v>
      </c>
      <c r="C184" s="27"/>
      <c r="D184" s="69">
        <f t="shared" si="9"/>
        <v>225</v>
      </c>
      <c r="E184" s="175">
        <f t="shared" si="9"/>
        <v>217.107</v>
      </c>
      <c r="F184" s="193">
        <f t="shared" si="7"/>
        <v>0.96492</v>
      </c>
    </row>
    <row r="185" spans="1:6" ht="12.75">
      <c r="A185" s="28" t="s">
        <v>33</v>
      </c>
      <c r="B185" s="71" t="s">
        <v>136</v>
      </c>
      <c r="C185" s="27" t="s">
        <v>34</v>
      </c>
      <c r="D185" s="69">
        <f t="shared" si="9"/>
        <v>225</v>
      </c>
      <c r="E185" s="175">
        <f t="shared" si="9"/>
        <v>217.107</v>
      </c>
      <c r="F185" s="193">
        <f t="shared" si="7"/>
        <v>0.96492</v>
      </c>
    </row>
    <row r="186" spans="1:6" ht="25.5">
      <c r="A186" s="28" t="s">
        <v>35</v>
      </c>
      <c r="B186" s="71" t="s">
        <v>136</v>
      </c>
      <c r="C186" s="27" t="s">
        <v>36</v>
      </c>
      <c r="D186" s="69">
        <v>225</v>
      </c>
      <c r="E186" s="175">
        <v>217.107</v>
      </c>
      <c r="F186" s="193">
        <f t="shared" si="7"/>
        <v>0.96492</v>
      </c>
    </row>
    <row r="187" spans="1:6" ht="38.25">
      <c r="A187" s="135" t="s">
        <v>343</v>
      </c>
      <c r="B187" s="61" t="s">
        <v>344</v>
      </c>
      <c r="C187" s="29"/>
      <c r="D187" s="78">
        <f aca="true" t="shared" si="10" ref="D187:E189">D188</f>
        <v>0</v>
      </c>
      <c r="E187" s="179">
        <f t="shared" si="10"/>
        <v>0</v>
      </c>
      <c r="F187" s="193" t="e">
        <f t="shared" si="7"/>
        <v>#DIV/0!</v>
      </c>
    </row>
    <row r="188" spans="1:6" ht="38.25">
      <c r="A188" s="28" t="s">
        <v>345</v>
      </c>
      <c r="B188" s="71" t="s">
        <v>346</v>
      </c>
      <c r="C188" s="126"/>
      <c r="D188" s="69">
        <f t="shared" si="10"/>
        <v>0</v>
      </c>
      <c r="E188" s="175">
        <f t="shared" si="10"/>
        <v>0</v>
      </c>
      <c r="F188" s="193" t="e">
        <f t="shared" si="7"/>
        <v>#DIV/0!</v>
      </c>
    </row>
    <row r="189" spans="1:6" ht="12.75">
      <c r="A189" s="28" t="s">
        <v>347</v>
      </c>
      <c r="B189" s="71" t="s">
        <v>346</v>
      </c>
      <c r="C189" s="27" t="s">
        <v>249</v>
      </c>
      <c r="D189" s="69">
        <f t="shared" si="10"/>
        <v>0</v>
      </c>
      <c r="E189" s="175">
        <f t="shared" si="10"/>
        <v>0</v>
      </c>
      <c r="F189" s="193" t="e">
        <f t="shared" si="7"/>
        <v>#DIV/0!</v>
      </c>
    </row>
    <row r="190" spans="1:6" ht="25.5">
      <c r="A190" s="28" t="s">
        <v>348</v>
      </c>
      <c r="B190" s="71" t="s">
        <v>346</v>
      </c>
      <c r="C190" s="27" t="s">
        <v>251</v>
      </c>
      <c r="D190" s="69">
        <v>0</v>
      </c>
      <c r="E190" s="175">
        <v>0</v>
      </c>
      <c r="F190" s="193" t="e">
        <f t="shared" si="7"/>
        <v>#DIV/0!</v>
      </c>
    </row>
    <row r="191" spans="1:6" ht="38.25">
      <c r="A191" s="135" t="s">
        <v>146</v>
      </c>
      <c r="B191" s="61" t="s">
        <v>147</v>
      </c>
      <c r="C191" s="27"/>
      <c r="D191" s="25">
        <f>D192+D195</f>
        <v>50005.1</v>
      </c>
      <c r="E191" s="176">
        <f>E192+E195</f>
        <v>33628.58818</v>
      </c>
      <c r="F191" s="193">
        <f t="shared" si="7"/>
        <v>0.6725031682768358</v>
      </c>
    </row>
    <row r="192" spans="1:6" ht="63.75">
      <c r="A192" s="77" t="s">
        <v>150</v>
      </c>
      <c r="B192" s="71" t="s">
        <v>149</v>
      </c>
      <c r="C192" s="27"/>
      <c r="D192" s="76">
        <f>D193</f>
        <v>48005.1</v>
      </c>
      <c r="E192" s="174">
        <f>E193</f>
        <v>32980.05526</v>
      </c>
      <c r="F192" s="193">
        <f t="shared" si="7"/>
        <v>0.6870114896125621</v>
      </c>
    </row>
    <row r="193" spans="1:6" ht="12.75">
      <c r="A193" s="28" t="s">
        <v>33</v>
      </c>
      <c r="B193" s="71" t="s">
        <v>149</v>
      </c>
      <c r="C193" s="27" t="s">
        <v>36</v>
      </c>
      <c r="D193" s="76">
        <f>D194</f>
        <v>48005.1</v>
      </c>
      <c r="E193" s="174">
        <f>E194</f>
        <v>32980.05526</v>
      </c>
      <c r="F193" s="193">
        <f t="shared" si="7"/>
        <v>0.6870114896125621</v>
      </c>
    </row>
    <row r="194" spans="1:6" ht="25.5">
      <c r="A194" s="28" t="s">
        <v>35</v>
      </c>
      <c r="B194" s="71" t="s">
        <v>149</v>
      </c>
      <c r="C194" s="27" t="s">
        <v>36</v>
      </c>
      <c r="D194" s="76">
        <v>48005.1</v>
      </c>
      <c r="E194" s="174">
        <v>32980.05526</v>
      </c>
      <c r="F194" s="193">
        <f t="shared" si="7"/>
        <v>0.6870114896125621</v>
      </c>
    </row>
    <row r="195" spans="1:6" ht="63.75">
      <c r="A195" s="77" t="s">
        <v>349</v>
      </c>
      <c r="B195" s="71" t="s">
        <v>152</v>
      </c>
      <c r="C195" s="27"/>
      <c r="D195" s="76">
        <f>D196</f>
        <v>2000</v>
      </c>
      <c r="E195" s="174">
        <f>E196</f>
        <v>648.53292</v>
      </c>
      <c r="F195" s="193">
        <f t="shared" si="7"/>
        <v>0.32426646</v>
      </c>
    </row>
    <row r="196" spans="1:6" ht="12.75">
      <c r="A196" s="28" t="s">
        <v>33</v>
      </c>
      <c r="B196" s="71" t="s">
        <v>152</v>
      </c>
      <c r="C196" s="27" t="s">
        <v>36</v>
      </c>
      <c r="D196" s="76">
        <f>D197</f>
        <v>2000</v>
      </c>
      <c r="E196" s="174">
        <f>E197</f>
        <v>648.53292</v>
      </c>
      <c r="F196" s="193">
        <f t="shared" si="7"/>
        <v>0.32426646</v>
      </c>
    </row>
    <row r="197" spans="1:6" ht="25.5">
      <c r="A197" s="28" t="s">
        <v>35</v>
      </c>
      <c r="B197" s="71" t="s">
        <v>152</v>
      </c>
      <c r="C197" s="27" t="s">
        <v>36</v>
      </c>
      <c r="D197" s="76">
        <f>7000-5000</f>
        <v>2000</v>
      </c>
      <c r="E197" s="174">
        <v>648.53292</v>
      </c>
      <c r="F197" s="193">
        <f t="shared" si="7"/>
        <v>0.32426646</v>
      </c>
    </row>
    <row r="198" spans="1:6" ht="25.5">
      <c r="A198" s="135" t="s">
        <v>222</v>
      </c>
      <c r="B198" s="61" t="s">
        <v>224</v>
      </c>
      <c r="C198" s="27"/>
      <c r="D198" s="78">
        <f>D199</f>
        <v>60</v>
      </c>
      <c r="E198" s="179">
        <f>E199</f>
        <v>43.23</v>
      </c>
      <c r="F198" s="193">
        <f t="shared" si="7"/>
        <v>0.7204999999999999</v>
      </c>
    </row>
    <row r="199" spans="1:6" ht="12.75">
      <c r="A199" s="28" t="s">
        <v>33</v>
      </c>
      <c r="B199" s="71" t="s">
        <v>225</v>
      </c>
      <c r="C199" s="27" t="s">
        <v>34</v>
      </c>
      <c r="D199" s="69">
        <f>D200</f>
        <v>60</v>
      </c>
      <c r="E199" s="175">
        <f>E200</f>
        <v>43.23</v>
      </c>
      <c r="F199" s="193">
        <f t="shared" si="7"/>
        <v>0.7204999999999999</v>
      </c>
    </row>
    <row r="200" spans="1:6" ht="25.5">
      <c r="A200" s="28" t="s">
        <v>35</v>
      </c>
      <c r="B200" s="71" t="s">
        <v>225</v>
      </c>
      <c r="C200" s="27" t="s">
        <v>36</v>
      </c>
      <c r="D200" s="69">
        <f>1022-962</f>
        <v>60</v>
      </c>
      <c r="E200" s="175">
        <v>43.23</v>
      </c>
      <c r="F200" s="193">
        <f t="shared" si="7"/>
        <v>0.7204999999999999</v>
      </c>
    </row>
    <row r="201" spans="1:6" ht="60" customHeight="1" hidden="1">
      <c r="A201" s="135" t="s">
        <v>350</v>
      </c>
      <c r="B201" s="61" t="s">
        <v>351</v>
      </c>
      <c r="C201" s="27"/>
      <c r="D201" s="78">
        <f>D202+D205+D208</f>
        <v>6300</v>
      </c>
      <c r="E201" s="179">
        <f>E202+E205+E208</f>
        <v>6300</v>
      </c>
      <c r="F201" s="193">
        <f t="shared" si="7"/>
        <v>1</v>
      </c>
    </row>
    <row r="202" spans="1:6" ht="30.75" customHeight="1" hidden="1">
      <c r="A202" s="28" t="s">
        <v>167</v>
      </c>
      <c r="B202" s="71" t="s">
        <v>352</v>
      </c>
      <c r="C202" s="27"/>
      <c r="D202" s="69">
        <f>D203</f>
        <v>4500</v>
      </c>
      <c r="E202" s="175">
        <f>E203</f>
        <v>4500</v>
      </c>
      <c r="F202" s="193">
        <f t="shared" si="7"/>
        <v>1</v>
      </c>
    </row>
    <row r="203" spans="1:6" ht="15" customHeight="1" hidden="1">
      <c r="A203" s="77" t="s">
        <v>33</v>
      </c>
      <c r="B203" s="71" t="s">
        <v>352</v>
      </c>
      <c r="C203" s="27" t="s">
        <v>34</v>
      </c>
      <c r="D203" s="69">
        <f>D204</f>
        <v>4500</v>
      </c>
      <c r="E203" s="175">
        <f>E204</f>
        <v>4500</v>
      </c>
      <c r="F203" s="193">
        <f t="shared" si="7"/>
        <v>1</v>
      </c>
    </row>
    <row r="204" spans="1:6" ht="15" customHeight="1" hidden="1">
      <c r="A204" s="28" t="s">
        <v>35</v>
      </c>
      <c r="B204" s="71" t="s">
        <v>352</v>
      </c>
      <c r="C204" s="27" t="s">
        <v>36</v>
      </c>
      <c r="D204" s="69">
        <v>4500</v>
      </c>
      <c r="E204" s="175">
        <v>4500</v>
      </c>
      <c r="F204" s="193">
        <f aca="true" t="shared" si="11" ref="F204:F267">E204/D204</f>
        <v>1</v>
      </c>
    </row>
    <row r="205" spans="1:6" ht="15" customHeight="1" hidden="1">
      <c r="A205" s="28" t="s">
        <v>353</v>
      </c>
      <c r="B205" s="71" t="s">
        <v>354</v>
      </c>
      <c r="C205" s="27"/>
      <c r="D205" s="69">
        <f>D206</f>
        <v>0</v>
      </c>
      <c r="E205" s="175">
        <f>E206</f>
        <v>0</v>
      </c>
      <c r="F205" s="193" t="e">
        <f t="shared" si="11"/>
        <v>#DIV/0!</v>
      </c>
    </row>
    <row r="206" spans="1:6" ht="15" customHeight="1" hidden="1">
      <c r="A206" s="28" t="s">
        <v>37</v>
      </c>
      <c r="B206" s="71" t="s">
        <v>354</v>
      </c>
      <c r="C206" s="29" t="s">
        <v>40</v>
      </c>
      <c r="D206" s="69">
        <f>D207</f>
        <v>0</v>
      </c>
      <c r="E206" s="175">
        <f>E207</f>
        <v>0</v>
      </c>
      <c r="F206" s="193" t="e">
        <f t="shared" si="11"/>
        <v>#DIV/0!</v>
      </c>
    </row>
    <row r="207" spans="1:6" ht="15" customHeight="1" hidden="1">
      <c r="A207" s="28" t="s">
        <v>39</v>
      </c>
      <c r="B207" s="71" t="s">
        <v>354</v>
      </c>
      <c r="C207" s="29" t="s">
        <v>355</v>
      </c>
      <c r="D207" s="69">
        <v>0</v>
      </c>
      <c r="E207" s="175">
        <v>0</v>
      </c>
      <c r="F207" s="193" t="e">
        <f t="shared" si="11"/>
        <v>#DIV/0!</v>
      </c>
    </row>
    <row r="208" spans="1:6" ht="15" customHeight="1" hidden="1">
      <c r="A208" s="28" t="s">
        <v>356</v>
      </c>
      <c r="B208" s="71" t="s">
        <v>357</v>
      </c>
      <c r="C208" s="27"/>
      <c r="D208" s="69">
        <f>D209</f>
        <v>1800</v>
      </c>
      <c r="E208" s="175">
        <f>E209</f>
        <v>1800</v>
      </c>
      <c r="F208" s="193">
        <f t="shared" si="11"/>
        <v>1</v>
      </c>
    </row>
    <row r="209" spans="1:6" ht="15" customHeight="1" hidden="1">
      <c r="A209" s="77" t="s">
        <v>33</v>
      </c>
      <c r="B209" s="71" t="s">
        <v>357</v>
      </c>
      <c r="C209" s="27" t="s">
        <v>34</v>
      </c>
      <c r="D209" s="69">
        <f>D210</f>
        <v>1800</v>
      </c>
      <c r="E209" s="175">
        <f>E210</f>
        <v>1800</v>
      </c>
      <c r="F209" s="193">
        <f t="shared" si="11"/>
        <v>1</v>
      </c>
    </row>
    <row r="210" spans="1:6" ht="15" customHeight="1" hidden="1">
      <c r="A210" s="28" t="s">
        <v>35</v>
      </c>
      <c r="B210" s="71" t="s">
        <v>357</v>
      </c>
      <c r="C210" s="27" t="s">
        <v>36</v>
      </c>
      <c r="D210" s="69">
        <v>1800</v>
      </c>
      <c r="E210" s="175">
        <v>1800</v>
      </c>
      <c r="F210" s="193">
        <f t="shared" si="11"/>
        <v>1</v>
      </c>
    </row>
    <row r="211" spans="1:6" ht="46.5" customHeight="1" hidden="1">
      <c r="A211" s="84" t="s">
        <v>358</v>
      </c>
      <c r="B211" s="71" t="s">
        <v>359</v>
      </c>
      <c r="C211" s="27"/>
      <c r="D211" s="69"/>
      <c r="E211" s="175"/>
      <c r="F211" s="193" t="e">
        <f t="shared" si="11"/>
        <v>#DIV/0!</v>
      </c>
    </row>
    <row r="212" spans="1:6" ht="15" customHeight="1" hidden="1">
      <c r="A212" s="77" t="s">
        <v>33</v>
      </c>
      <c r="B212" s="71" t="s">
        <v>359</v>
      </c>
      <c r="C212" s="27" t="s">
        <v>34</v>
      </c>
      <c r="D212" s="69"/>
      <c r="E212" s="175"/>
      <c r="F212" s="193" t="e">
        <f t="shared" si="11"/>
        <v>#DIV/0!</v>
      </c>
    </row>
    <row r="213" spans="1:6" ht="15" customHeight="1" hidden="1">
      <c r="A213" s="77" t="s">
        <v>35</v>
      </c>
      <c r="B213" s="71" t="s">
        <v>359</v>
      </c>
      <c r="C213" s="27" t="s">
        <v>36</v>
      </c>
      <c r="D213" s="69"/>
      <c r="E213" s="175"/>
      <c r="F213" s="193" t="e">
        <f t="shared" si="11"/>
        <v>#DIV/0!</v>
      </c>
    </row>
    <row r="214" spans="1:6" ht="25.5">
      <c r="A214" s="135" t="s">
        <v>307</v>
      </c>
      <c r="B214" s="61" t="s">
        <v>73</v>
      </c>
      <c r="C214" s="27"/>
      <c r="D214" s="78">
        <f>D215+D218</f>
        <v>150</v>
      </c>
      <c r="E214" s="179">
        <f>E215+E218</f>
        <v>21.5</v>
      </c>
      <c r="F214" s="193">
        <f t="shared" si="11"/>
        <v>0.14333333333333334</v>
      </c>
    </row>
    <row r="215" spans="1:6" ht="25.5">
      <c r="A215" s="28" t="s">
        <v>360</v>
      </c>
      <c r="B215" s="71" t="s">
        <v>173</v>
      </c>
      <c r="C215" s="27"/>
      <c r="D215" s="69">
        <f>D216</f>
        <v>130</v>
      </c>
      <c r="E215" s="175">
        <f>E216</f>
        <v>21.5</v>
      </c>
      <c r="F215" s="193">
        <f t="shared" si="11"/>
        <v>0.16538461538461538</v>
      </c>
    </row>
    <row r="216" spans="1:6" ht="12.75">
      <c r="A216" s="77" t="s">
        <v>33</v>
      </c>
      <c r="B216" s="71" t="s">
        <v>173</v>
      </c>
      <c r="C216" s="27" t="s">
        <v>34</v>
      </c>
      <c r="D216" s="69">
        <f>D217</f>
        <v>130</v>
      </c>
      <c r="E216" s="175">
        <f>E217</f>
        <v>21.5</v>
      </c>
      <c r="F216" s="193">
        <f t="shared" si="11"/>
        <v>0.16538461538461538</v>
      </c>
    </row>
    <row r="217" spans="1:6" s="52" customFormat="1" ht="25.5">
      <c r="A217" s="77" t="s">
        <v>35</v>
      </c>
      <c r="B217" s="71" t="s">
        <v>173</v>
      </c>
      <c r="C217" s="27" t="s">
        <v>36</v>
      </c>
      <c r="D217" s="69">
        <f>150-20</f>
        <v>130</v>
      </c>
      <c r="E217" s="175">
        <v>21.5</v>
      </c>
      <c r="F217" s="193">
        <f t="shared" si="11"/>
        <v>0.16538461538461538</v>
      </c>
    </row>
    <row r="218" spans="1:6" s="52" customFormat="1" ht="12.75">
      <c r="A218" s="28" t="s">
        <v>74</v>
      </c>
      <c r="B218" s="71" t="s">
        <v>75</v>
      </c>
      <c r="C218" s="27"/>
      <c r="D218" s="69">
        <f>D219</f>
        <v>20</v>
      </c>
      <c r="E218" s="175">
        <f>E219</f>
        <v>0</v>
      </c>
      <c r="F218" s="193">
        <f t="shared" si="11"/>
        <v>0</v>
      </c>
    </row>
    <row r="219" spans="1:6" s="52" customFormat="1" ht="12.75">
      <c r="A219" s="77" t="s">
        <v>33</v>
      </c>
      <c r="B219" s="71" t="s">
        <v>75</v>
      </c>
      <c r="C219" s="27" t="s">
        <v>34</v>
      </c>
      <c r="D219" s="69">
        <f>D220</f>
        <v>20</v>
      </c>
      <c r="E219" s="175">
        <f>E220</f>
        <v>0</v>
      </c>
      <c r="F219" s="193">
        <f t="shared" si="11"/>
        <v>0</v>
      </c>
    </row>
    <row r="220" spans="1:6" s="52" customFormat="1" ht="25.5">
      <c r="A220" s="77" t="s">
        <v>35</v>
      </c>
      <c r="B220" s="71" t="s">
        <v>75</v>
      </c>
      <c r="C220" s="27" t="s">
        <v>36</v>
      </c>
      <c r="D220" s="69">
        <v>20</v>
      </c>
      <c r="E220" s="175">
        <v>0</v>
      </c>
      <c r="F220" s="193">
        <f t="shared" si="11"/>
        <v>0</v>
      </c>
    </row>
    <row r="221" spans="1:6" s="52" customFormat="1" ht="38.25">
      <c r="A221" s="135" t="s">
        <v>68</v>
      </c>
      <c r="B221" s="61" t="s">
        <v>139</v>
      </c>
      <c r="C221" s="27"/>
      <c r="D221" s="25">
        <f>D222+D227</f>
        <v>10193.8</v>
      </c>
      <c r="E221" s="176">
        <f>E222+E227</f>
        <v>4117.30157</v>
      </c>
      <c r="F221" s="193">
        <f t="shared" si="11"/>
        <v>0.4039025260452432</v>
      </c>
    </row>
    <row r="222" spans="1:6" ht="51">
      <c r="A222" s="139" t="s">
        <v>70</v>
      </c>
      <c r="B222" s="71" t="s">
        <v>361</v>
      </c>
      <c r="C222" s="140"/>
      <c r="D222" s="141">
        <f>D223+D225</f>
        <v>9993.8</v>
      </c>
      <c r="E222" s="186">
        <f>E223+E225</f>
        <v>4040.30157</v>
      </c>
      <c r="F222" s="193">
        <f t="shared" si="11"/>
        <v>0.40428081110288383</v>
      </c>
    </row>
    <row r="223" spans="1:6" ht="12.75">
      <c r="A223" s="28" t="s">
        <v>33</v>
      </c>
      <c r="B223" s="71" t="s">
        <v>361</v>
      </c>
      <c r="C223" s="27" t="s">
        <v>34</v>
      </c>
      <c r="D223" s="69">
        <f>D224</f>
        <v>4630</v>
      </c>
      <c r="E223" s="175">
        <f>E224</f>
        <v>1873.69457</v>
      </c>
      <c r="F223" s="193">
        <f t="shared" si="11"/>
        <v>0.4046856522678186</v>
      </c>
    </row>
    <row r="224" spans="1:6" ht="25.5">
      <c r="A224" s="28" t="s">
        <v>35</v>
      </c>
      <c r="B224" s="71" t="s">
        <v>361</v>
      </c>
      <c r="C224" s="27" t="s">
        <v>36</v>
      </c>
      <c r="D224" s="76">
        <f>3450+700+2000-2020+500</f>
        <v>4630</v>
      </c>
      <c r="E224" s="174">
        <v>1873.69457</v>
      </c>
      <c r="F224" s="193">
        <f t="shared" si="11"/>
        <v>0.4046856522678186</v>
      </c>
    </row>
    <row r="225" spans="1:6" ht="12.75">
      <c r="A225" s="67" t="s">
        <v>37</v>
      </c>
      <c r="B225" s="71" t="s">
        <v>361</v>
      </c>
      <c r="C225" s="27" t="s">
        <v>38</v>
      </c>
      <c r="D225" s="76">
        <f>D226</f>
        <v>5363.8</v>
      </c>
      <c r="E225" s="174">
        <f>E226</f>
        <v>2166.607</v>
      </c>
      <c r="F225" s="193">
        <f t="shared" si="11"/>
        <v>0.4039313546366382</v>
      </c>
    </row>
    <row r="226" spans="1:6" ht="12.75">
      <c r="A226" s="67" t="s">
        <v>39</v>
      </c>
      <c r="B226" s="71" t="s">
        <v>361</v>
      </c>
      <c r="C226" s="27" t="s">
        <v>40</v>
      </c>
      <c r="D226" s="76">
        <f>2020+10000-3000-1676.2-300-380-300-1000</f>
        <v>5363.8</v>
      </c>
      <c r="E226" s="174">
        <v>2166.607</v>
      </c>
      <c r="F226" s="193">
        <f t="shared" si="11"/>
        <v>0.4039313546366382</v>
      </c>
    </row>
    <row r="227" spans="1:6" ht="12.75">
      <c r="A227" s="67" t="s">
        <v>140</v>
      </c>
      <c r="B227" s="71" t="s">
        <v>141</v>
      </c>
      <c r="C227" s="27"/>
      <c r="D227" s="69">
        <f>D228</f>
        <v>200</v>
      </c>
      <c r="E227" s="175">
        <f>E228</f>
        <v>77</v>
      </c>
      <c r="F227" s="193">
        <f t="shared" si="11"/>
        <v>0.385</v>
      </c>
    </row>
    <row r="228" spans="1:6" ht="12.75">
      <c r="A228" s="28" t="s">
        <v>33</v>
      </c>
      <c r="B228" s="71" t="s">
        <v>141</v>
      </c>
      <c r="C228" s="27" t="s">
        <v>34</v>
      </c>
      <c r="D228" s="69">
        <f>D229</f>
        <v>200</v>
      </c>
      <c r="E228" s="175">
        <f>E229</f>
        <v>77</v>
      </c>
      <c r="F228" s="193">
        <f t="shared" si="11"/>
        <v>0.385</v>
      </c>
    </row>
    <row r="229" spans="1:6" ht="26.25" thickBot="1">
      <c r="A229" s="88" t="s">
        <v>35</v>
      </c>
      <c r="B229" s="71" t="s">
        <v>141</v>
      </c>
      <c r="C229" s="142" t="s">
        <v>36</v>
      </c>
      <c r="D229" s="143">
        <v>200</v>
      </c>
      <c r="E229" s="187">
        <v>77</v>
      </c>
      <c r="F229" s="193">
        <f t="shared" si="11"/>
        <v>0.385</v>
      </c>
    </row>
    <row r="230" spans="1:6" ht="12.75">
      <c r="A230" s="144" t="s">
        <v>362</v>
      </c>
      <c r="B230" s="145"/>
      <c r="C230" s="146"/>
      <c r="D230" s="147">
        <f>D221+D214+D198+D191+D187+D107+D64+D52+D39+D27+D11</f>
        <v>443191.58353999996</v>
      </c>
      <c r="E230" s="188">
        <f>E221+E214+E198+E191+E187+E107+E64+E52+E39+E27+E11</f>
        <v>292200.41299978003</v>
      </c>
      <c r="F230" s="193">
        <f t="shared" si="11"/>
        <v>0.6593094811634835</v>
      </c>
    </row>
    <row r="231" spans="1:6" ht="38.25">
      <c r="A231" s="148" t="s">
        <v>15</v>
      </c>
      <c r="B231" s="65" t="s">
        <v>363</v>
      </c>
      <c r="C231" s="27"/>
      <c r="D231" s="25">
        <f>D236+D239+D242+D245+D248+D255+D232</f>
        <v>34471</v>
      </c>
      <c r="E231" s="176">
        <f>E236+E239+E242+E245+E248+E255+E232</f>
        <v>27710.5650909</v>
      </c>
      <c r="F231" s="193">
        <f t="shared" si="11"/>
        <v>0.8038805108903135</v>
      </c>
    </row>
    <row r="232" spans="1:6" ht="13.5">
      <c r="A232" s="60" t="s">
        <v>49</v>
      </c>
      <c r="B232" s="68" t="s">
        <v>51</v>
      </c>
      <c r="C232" s="27"/>
      <c r="D232" s="69">
        <f aca="true" t="shared" si="12" ref="D232:E234">D233</f>
        <v>712</v>
      </c>
      <c r="E232" s="175">
        <f t="shared" si="12"/>
        <v>0</v>
      </c>
      <c r="F232" s="193">
        <f t="shared" si="11"/>
        <v>0</v>
      </c>
    </row>
    <row r="233" spans="1:6" ht="12.75">
      <c r="A233" s="67" t="s">
        <v>52</v>
      </c>
      <c r="B233" s="68" t="s">
        <v>51</v>
      </c>
      <c r="C233" s="27"/>
      <c r="D233" s="69">
        <f t="shared" si="12"/>
        <v>712</v>
      </c>
      <c r="E233" s="175">
        <f t="shared" si="12"/>
        <v>0</v>
      </c>
      <c r="F233" s="193">
        <f t="shared" si="11"/>
        <v>0</v>
      </c>
    </row>
    <row r="234" spans="1:6" ht="12.75">
      <c r="A234" s="67" t="s">
        <v>37</v>
      </c>
      <c r="B234" s="68" t="s">
        <v>51</v>
      </c>
      <c r="C234" s="27" t="s">
        <v>38</v>
      </c>
      <c r="D234" s="69">
        <f t="shared" si="12"/>
        <v>712</v>
      </c>
      <c r="E234" s="175">
        <f t="shared" si="12"/>
        <v>0</v>
      </c>
      <c r="F234" s="193">
        <f t="shared" si="11"/>
        <v>0</v>
      </c>
    </row>
    <row r="235" spans="1:6" ht="12.75">
      <c r="A235" s="67" t="s">
        <v>53</v>
      </c>
      <c r="B235" s="68" t="s">
        <v>51</v>
      </c>
      <c r="C235" s="27" t="s">
        <v>54</v>
      </c>
      <c r="D235" s="69">
        <v>712</v>
      </c>
      <c r="E235" s="175">
        <v>0</v>
      </c>
      <c r="F235" s="193">
        <f t="shared" si="11"/>
        <v>0</v>
      </c>
    </row>
    <row r="236" spans="1:6" ht="12.75">
      <c r="A236" s="67" t="s">
        <v>17</v>
      </c>
      <c r="B236" s="68" t="s">
        <v>18</v>
      </c>
      <c r="C236" s="114"/>
      <c r="D236" s="69">
        <f>D237</f>
        <v>1801</v>
      </c>
      <c r="E236" s="175">
        <f>E237</f>
        <v>1388.783</v>
      </c>
      <c r="F236" s="193">
        <f t="shared" si="11"/>
        <v>0.77111771238201</v>
      </c>
    </row>
    <row r="237" spans="1:6" ht="51">
      <c r="A237" s="67" t="s">
        <v>19</v>
      </c>
      <c r="B237" s="68" t="s">
        <v>18</v>
      </c>
      <c r="C237" s="114" t="s">
        <v>20</v>
      </c>
      <c r="D237" s="69">
        <f>D238</f>
        <v>1801</v>
      </c>
      <c r="E237" s="175">
        <f>E238</f>
        <v>1388.783</v>
      </c>
      <c r="F237" s="193">
        <f t="shared" si="11"/>
        <v>0.77111771238201</v>
      </c>
    </row>
    <row r="238" spans="1:6" ht="12.75">
      <c r="A238" s="67" t="s">
        <v>21</v>
      </c>
      <c r="B238" s="68" t="s">
        <v>18</v>
      </c>
      <c r="C238" s="114" t="s">
        <v>22</v>
      </c>
      <c r="D238" s="69">
        <f>1364+437</f>
        <v>1801</v>
      </c>
      <c r="E238" s="175">
        <v>1388.783</v>
      </c>
      <c r="F238" s="193">
        <f t="shared" si="11"/>
        <v>0.77111771238201</v>
      </c>
    </row>
    <row r="239" spans="1:6" ht="12.75">
      <c r="A239" s="70" t="s">
        <v>47</v>
      </c>
      <c r="B239" s="68" t="s">
        <v>48</v>
      </c>
      <c r="C239" s="142"/>
      <c r="D239" s="149">
        <f>D240</f>
        <v>1506</v>
      </c>
      <c r="E239" s="189">
        <f>E240</f>
        <v>1153.97719</v>
      </c>
      <c r="F239" s="193">
        <f t="shared" si="11"/>
        <v>0.7662531142098274</v>
      </c>
    </row>
    <row r="240" spans="1:6" ht="51">
      <c r="A240" s="67" t="s">
        <v>19</v>
      </c>
      <c r="B240" s="68" t="s">
        <v>48</v>
      </c>
      <c r="C240" s="27" t="s">
        <v>20</v>
      </c>
      <c r="D240" s="69">
        <f>D241</f>
        <v>1506</v>
      </c>
      <c r="E240" s="175">
        <f>E241</f>
        <v>1153.97719</v>
      </c>
      <c r="F240" s="193">
        <f t="shared" si="11"/>
        <v>0.7662531142098274</v>
      </c>
    </row>
    <row r="241" spans="1:6" ht="12.75">
      <c r="A241" s="67" t="s">
        <v>21</v>
      </c>
      <c r="B241" s="68" t="s">
        <v>48</v>
      </c>
      <c r="C241" s="27" t="s">
        <v>22</v>
      </c>
      <c r="D241" s="69">
        <f>1264+242</f>
        <v>1506</v>
      </c>
      <c r="E241" s="175">
        <v>1153.97719</v>
      </c>
      <c r="F241" s="193">
        <f t="shared" si="11"/>
        <v>0.7662531142098274</v>
      </c>
    </row>
    <row r="242" spans="1:6" ht="12.75">
      <c r="A242" s="67" t="s">
        <v>43</v>
      </c>
      <c r="B242" s="71" t="s">
        <v>44</v>
      </c>
      <c r="C242" s="142"/>
      <c r="D242" s="143">
        <f>D243</f>
        <v>8178.2</v>
      </c>
      <c r="E242" s="187">
        <f>E243</f>
        <v>6965.9466466</v>
      </c>
      <c r="F242" s="193">
        <f t="shared" si="11"/>
        <v>0.851770150717762</v>
      </c>
    </row>
    <row r="243" spans="1:6" ht="51">
      <c r="A243" s="67" t="s">
        <v>19</v>
      </c>
      <c r="B243" s="71" t="s">
        <v>44</v>
      </c>
      <c r="C243" s="27" t="s">
        <v>20</v>
      </c>
      <c r="D243" s="143">
        <f>D244</f>
        <v>8178.2</v>
      </c>
      <c r="E243" s="187">
        <f>E244</f>
        <v>6965.9466466</v>
      </c>
      <c r="F243" s="193">
        <f t="shared" si="11"/>
        <v>0.851770150717762</v>
      </c>
    </row>
    <row r="244" spans="1:6" ht="12.75">
      <c r="A244" s="67" t="s">
        <v>21</v>
      </c>
      <c r="B244" s="71" t="s">
        <v>44</v>
      </c>
      <c r="C244" s="27" t="s">
        <v>22</v>
      </c>
      <c r="D244" s="143">
        <f>6191.2+226+1761</f>
        <v>8178.2</v>
      </c>
      <c r="E244" s="187">
        <v>6965.9466466</v>
      </c>
      <c r="F244" s="193">
        <f t="shared" si="11"/>
        <v>0.851770150717762</v>
      </c>
    </row>
    <row r="245" spans="1:6" ht="12.75">
      <c r="A245" s="67" t="s">
        <v>29</v>
      </c>
      <c r="B245" s="71" t="s">
        <v>364</v>
      </c>
      <c r="C245" s="27"/>
      <c r="D245" s="69">
        <f>D246</f>
        <v>12307.8</v>
      </c>
      <c r="E245" s="175">
        <f>E246</f>
        <v>10750.58697</v>
      </c>
      <c r="F245" s="193">
        <f t="shared" si="11"/>
        <v>0.8734775483839518</v>
      </c>
    </row>
    <row r="246" spans="1:6" ht="51">
      <c r="A246" s="67" t="s">
        <v>19</v>
      </c>
      <c r="B246" s="71" t="s">
        <v>364</v>
      </c>
      <c r="C246" s="27" t="s">
        <v>20</v>
      </c>
      <c r="D246" s="69">
        <f>D247</f>
        <v>12307.8</v>
      </c>
      <c r="E246" s="175">
        <f>E247</f>
        <v>10750.58697</v>
      </c>
      <c r="F246" s="193">
        <f t="shared" si="11"/>
        <v>0.8734775483839518</v>
      </c>
    </row>
    <row r="247" spans="1:6" ht="12.75">
      <c r="A247" s="67" t="s">
        <v>21</v>
      </c>
      <c r="B247" s="71" t="s">
        <v>364</v>
      </c>
      <c r="C247" s="27" t="s">
        <v>22</v>
      </c>
      <c r="D247" s="69">
        <f>5667.8+750+2000+271+340+230+3049</f>
        <v>12307.8</v>
      </c>
      <c r="E247" s="175">
        <f>1178.45957+9572.1274</f>
        <v>10750.58697</v>
      </c>
      <c r="F247" s="193">
        <f t="shared" si="11"/>
        <v>0.8734775483839518</v>
      </c>
    </row>
    <row r="248" spans="1:6" ht="25.5">
      <c r="A248" s="67" t="s">
        <v>31</v>
      </c>
      <c r="B248" s="71" t="s">
        <v>32</v>
      </c>
      <c r="C248" s="27"/>
      <c r="D248" s="69">
        <f>D249+D251+D253</f>
        <v>8095</v>
      </c>
      <c r="E248" s="175">
        <f>E249+E251+E253</f>
        <v>5858.867284300001</v>
      </c>
      <c r="F248" s="193">
        <f t="shared" si="11"/>
        <v>0.7237637164051886</v>
      </c>
    </row>
    <row r="249" spans="1:6" ht="51">
      <c r="A249" s="67" t="s">
        <v>19</v>
      </c>
      <c r="B249" s="71" t="s">
        <v>32</v>
      </c>
      <c r="C249" s="27" t="s">
        <v>20</v>
      </c>
      <c r="D249" s="69">
        <f>D250</f>
        <v>22</v>
      </c>
      <c r="E249" s="175">
        <f>E250</f>
        <v>3.09258</v>
      </c>
      <c r="F249" s="193">
        <f t="shared" si="11"/>
        <v>0.1405718181818182</v>
      </c>
    </row>
    <row r="250" spans="1:6" ht="12.75">
      <c r="A250" s="67" t="s">
        <v>21</v>
      </c>
      <c r="B250" s="71" t="s">
        <v>32</v>
      </c>
      <c r="C250" s="27" t="s">
        <v>22</v>
      </c>
      <c r="D250" s="69">
        <v>22</v>
      </c>
      <c r="E250" s="175">
        <v>3.09258</v>
      </c>
      <c r="F250" s="193">
        <f t="shared" si="11"/>
        <v>0.1405718181818182</v>
      </c>
    </row>
    <row r="251" spans="1:6" ht="12.75">
      <c r="A251" s="67" t="s">
        <v>33</v>
      </c>
      <c r="B251" s="71" t="s">
        <v>32</v>
      </c>
      <c r="C251" s="27" t="s">
        <v>34</v>
      </c>
      <c r="D251" s="69">
        <f>D252</f>
        <v>7902</v>
      </c>
      <c r="E251" s="175">
        <f>E252</f>
        <v>5742.0257280000005</v>
      </c>
      <c r="F251" s="193">
        <f t="shared" si="11"/>
        <v>0.7266547365223994</v>
      </c>
    </row>
    <row r="252" spans="1:6" ht="25.5">
      <c r="A252" s="67" t="s">
        <v>35</v>
      </c>
      <c r="B252" s="71" t="s">
        <v>32</v>
      </c>
      <c r="C252" s="27" t="s">
        <v>36</v>
      </c>
      <c r="D252" s="69">
        <f>275+4192+1995+1500-60</f>
        <v>7902</v>
      </c>
      <c r="E252" s="175">
        <f>1218.04057+21.424+4502.561158</f>
        <v>5742.0257280000005</v>
      </c>
      <c r="F252" s="193">
        <f t="shared" si="11"/>
        <v>0.7266547365223994</v>
      </c>
    </row>
    <row r="253" spans="1:6" ht="12.75">
      <c r="A253" s="67" t="s">
        <v>37</v>
      </c>
      <c r="B253" s="71" t="s">
        <v>32</v>
      </c>
      <c r="C253" s="27" t="s">
        <v>38</v>
      </c>
      <c r="D253" s="69">
        <f>D254</f>
        <v>171</v>
      </c>
      <c r="E253" s="175">
        <f>E254</f>
        <v>113.74897630000001</v>
      </c>
      <c r="F253" s="193">
        <f t="shared" si="11"/>
        <v>0.6651986918128655</v>
      </c>
    </row>
    <row r="254" spans="1:6" ht="12.75">
      <c r="A254" s="67" t="s">
        <v>39</v>
      </c>
      <c r="B254" s="71" t="s">
        <v>32</v>
      </c>
      <c r="C254" s="27" t="s">
        <v>40</v>
      </c>
      <c r="D254" s="69">
        <v>171</v>
      </c>
      <c r="E254" s="175">
        <f>0.04009+1+112.7088863</f>
        <v>113.74897630000001</v>
      </c>
      <c r="F254" s="193">
        <f t="shared" si="11"/>
        <v>0.6651986918128655</v>
      </c>
    </row>
    <row r="255" spans="1:6" ht="25.5">
      <c r="A255" s="70" t="s">
        <v>25</v>
      </c>
      <c r="B255" s="68" t="s">
        <v>365</v>
      </c>
      <c r="C255" s="136"/>
      <c r="D255" s="38">
        <f>D256</f>
        <v>1871</v>
      </c>
      <c r="E255" s="178">
        <f>E256</f>
        <v>1592.404</v>
      </c>
      <c r="F255" s="193">
        <f t="shared" si="11"/>
        <v>0.8510978086584714</v>
      </c>
    </row>
    <row r="256" spans="1:6" ht="51">
      <c r="A256" s="67" t="s">
        <v>19</v>
      </c>
      <c r="B256" s="68" t="s">
        <v>26</v>
      </c>
      <c r="C256" s="114" t="s">
        <v>20</v>
      </c>
      <c r="D256" s="38">
        <f>D257</f>
        <v>1871</v>
      </c>
      <c r="E256" s="178">
        <f>E257</f>
        <v>1592.404</v>
      </c>
      <c r="F256" s="193">
        <f t="shared" si="11"/>
        <v>0.8510978086584714</v>
      </c>
    </row>
    <row r="257" spans="1:6" ht="12.75">
      <c r="A257" s="67" t="s">
        <v>21</v>
      </c>
      <c r="B257" s="68" t="s">
        <v>26</v>
      </c>
      <c r="C257" s="114" t="s">
        <v>22</v>
      </c>
      <c r="D257" s="38">
        <f>1340+761-230</f>
        <v>1871</v>
      </c>
      <c r="E257" s="178">
        <v>1592.404</v>
      </c>
      <c r="F257" s="193">
        <f t="shared" si="11"/>
        <v>0.8510978086584714</v>
      </c>
    </row>
    <row r="258" spans="1:6" ht="12.75">
      <c r="A258" s="150" t="s">
        <v>76</v>
      </c>
      <c r="B258" s="61" t="s">
        <v>244</v>
      </c>
      <c r="C258" s="151"/>
      <c r="D258" s="152">
        <f>D259+D262+D273+D279+D283+D269+D277</f>
        <v>22931.17226</v>
      </c>
      <c r="E258" s="190">
        <f>E259+E262+E273+E279+E283+E269+E277</f>
        <v>14389.575820000002</v>
      </c>
      <c r="F258" s="193">
        <f t="shared" si="11"/>
        <v>0.6275115662141907</v>
      </c>
    </row>
    <row r="259" spans="1:6" ht="25.5">
      <c r="A259" s="70" t="s">
        <v>246</v>
      </c>
      <c r="B259" s="71" t="s">
        <v>247</v>
      </c>
      <c r="C259" s="114"/>
      <c r="D259" s="38">
        <f>D261</f>
        <v>850.01</v>
      </c>
      <c r="E259" s="178">
        <f>E261</f>
        <v>835.97126</v>
      </c>
      <c r="F259" s="193">
        <f t="shared" si="11"/>
        <v>0.9834840295996519</v>
      </c>
    </row>
    <row r="260" spans="1:6" ht="12.75">
      <c r="A260" s="70" t="s">
        <v>248</v>
      </c>
      <c r="B260" s="71" t="s">
        <v>247</v>
      </c>
      <c r="C260" s="27" t="s">
        <v>249</v>
      </c>
      <c r="D260" s="38">
        <f>D261</f>
        <v>850.01</v>
      </c>
      <c r="E260" s="178">
        <f>E261</f>
        <v>835.97126</v>
      </c>
      <c r="F260" s="193">
        <f t="shared" si="11"/>
        <v>0.9834840295996519</v>
      </c>
    </row>
    <row r="261" spans="1:6" ht="12.75">
      <c r="A261" s="70" t="s">
        <v>250</v>
      </c>
      <c r="B261" s="71" t="s">
        <v>247</v>
      </c>
      <c r="C261" s="27" t="s">
        <v>251</v>
      </c>
      <c r="D261" s="38">
        <f>710+70+70.01</f>
        <v>850.01</v>
      </c>
      <c r="E261" s="178">
        <v>835.97126</v>
      </c>
      <c r="F261" s="193">
        <f t="shared" si="11"/>
        <v>0.9834840295996519</v>
      </c>
    </row>
    <row r="262" spans="1:6" ht="38.25">
      <c r="A262" s="70" t="s">
        <v>366</v>
      </c>
      <c r="B262" s="71" t="s">
        <v>244</v>
      </c>
      <c r="C262" s="114"/>
      <c r="D262" s="38">
        <f>D263+D265+D267</f>
        <v>12409</v>
      </c>
      <c r="E262" s="178">
        <f>E263+E265+E267</f>
        <v>9539.627050000001</v>
      </c>
      <c r="F262" s="193">
        <f t="shared" si="11"/>
        <v>0.768766786203562</v>
      </c>
    </row>
    <row r="263" spans="1:6" ht="51">
      <c r="A263" s="67" t="s">
        <v>19</v>
      </c>
      <c r="B263" s="68" t="s">
        <v>79</v>
      </c>
      <c r="C263" s="114" t="s">
        <v>20</v>
      </c>
      <c r="D263" s="69">
        <f>D264</f>
        <v>11293</v>
      </c>
      <c r="E263" s="175">
        <f>E264</f>
        <v>8826.13319</v>
      </c>
      <c r="F263" s="193">
        <f t="shared" si="11"/>
        <v>0.78155788453024</v>
      </c>
    </row>
    <row r="264" spans="1:6" ht="12.75">
      <c r="A264" s="67" t="s">
        <v>80</v>
      </c>
      <c r="B264" s="68" t="s">
        <v>79</v>
      </c>
      <c r="C264" s="114" t="s">
        <v>81</v>
      </c>
      <c r="D264" s="69">
        <f>9260+2033</f>
        <v>11293</v>
      </c>
      <c r="E264" s="175">
        <v>8826.13319</v>
      </c>
      <c r="F264" s="193">
        <f t="shared" si="11"/>
        <v>0.78155788453024</v>
      </c>
    </row>
    <row r="265" spans="1:6" ht="12.75">
      <c r="A265" s="77" t="s">
        <v>33</v>
      </c>
      <c r="B265" s="68" t="s">
        <v>79</v>
      </c>
      <c r="C265" s="27" t="s">
        <v>34</v>
      </c>
      <c r="D265" s="69">
        <f>D266</f>
        <v>1113</v>
      </c>
      <c r="E265" s="175">
        <f>E266</f>
        <v>711.72329</v>
      </c>
      <c r="F265" s="193">
        <f t="shared" si="11"/>
        <v>0.6394638724168913</v>
      </c>
    </row>
    <row r="266" spans="1:6" ht="25.5">
      <c r="A266" s="77" t="s">
        <v>35</v>
      </c>
      <c r="B266" s="68" t="s">
        <v>79</v>
      </c>
      <c r="C266" s="27" t="s">
        <v>36</v>
      </c>
      <c r="D266" s="69">
        <f>435+300+154+65.7+5+70.3-1.5+86-7.5+6</f>
        <v>1113</v>
      </c>
      <c r="E266" s="175">
        <v>711.72329</v>
      </c>
      <c r="F266" s="193">
        <f t="shared" si="11"/>
        <v>0.6394638724168913</v>
      </c>
    </row>
    <row r="267" spans="1:6" ht="12.75">
      <c r="A267" s="67" t="s">
        <v>37</v>
      </c>
      <c r="B267" s="68" t="s">
        <v>79</v>
      </c>
      <c r="C267" s="27" t="s">
        <v>38</v>
      </c>
      <c r="D267" s="38">
        <f>D268</f>
        <v>3</v>
      </c>
      <c r="E267" s="178">
        <f>E268</f>
        <v>1.77057</v>
      </c>
      <c r="F267" s="193">
        <f t="shared" si="11"/>
        <v>0.59019</v>
      </c>
    </row>
    <row r="268" spans="1:6" ht="12.75">
      <c r="A268" s="67" t="s">
        <v>39</v>
      </c>
      <c r="B268" s="68" t="s">
        <v>79</v>
      </c>
      <c r="C268" s="27" t="s">
        <v>40</v>
      </c>
      <c r="D268" s="38">
        <v>3</v>
      </c>
      <c r="E268" s="178">
        <v>1.77057</v>
      </c>
      <c r="F268" s="193">
        <f aca="true" t="shared" si="13" ref="F268:F288">E268/D268</f>
        <v>0.59019</v>
      </c>
    </row>
    <row r="269" spans="1:6" ht="25.5" hidden="1">
      <c r="A269" s="1" t="s">
        <v>277</v>
      </c>
      <c r="B269" s="68" t="s">
        <v>279</v>
      </c>
      <c r="C269" s="27"/>
      <c r="D269" s="38">
        <f aca="true" t="shared" si="14" ref="D269:E271">D270</f>
        <v>2240</v>
      </c>
      <c r="E269" s="178">
        <f t="shared" si="14"/>
        <v>2173.48551</v>
      </c>
      <c r="F269" s="193">
        <f t="shared" si="13"/>
        <v>0.97030603125</v>
      </c>
    </row>
    <row r="270" spans="1:6" ht="25.5" hidden="1">
      <c r="A270" s="70" t="s">
        <v>280</v>
      </c>
      <c r="B270" s="68" t="s">
        <v>279</v>
      </c>
      <c r="C270" s="27"/>
      <c r="D270" s="38">
        <f t="shared" si="14"/>
        <v>2240</v>
      </c>
      <c r="E270" s="178">
        <f t="shared" si="14"/>
        <v>2173.48551</v>
      </c>
      <c r="F270" s="193">
        <f t="shared" si="13"/>
        <v>0.97030603125</v>
      </c>
    </row>
    <row r="271" spans="1:6" ht="12.75">
      <c r="A271" s="70" t="s">
        <v>281</v>
      </c>
      <c r="B271" s="68" t="s">
        <v>279</v>
      </c>
      <c r="C271" s="27" t="s">
        <v>282</v>
      </c>
      <c r="D271" s="38">
        <f t="shared" si="14"/>
        <v>2240</v>
      </c>
      <c r="E271" s="178">
        <f t="shared" si="14"/>
        <v>2173.48551</v>
      </c>
      <c r="F271" s="193">
        <f t="shared" si="13"/>
        <v>0.97030603125</v>
      </c>
    </row>
    <row r="272" spans="1:6" ht="12.75">
      <c r="A272" s="104" t="s">
        <v>283</v>
      </c>
      <c r="B272" s="68" t="s">
        <v>279</v>
      </c>
      <c r="C272" s="27" t="s">
        <v>284</v>
      </c>
      <c r="D272" s="38">
        <f>990+800+450</f>
        <v>2240</v>
      </c>
      <c r="E272" s="178">
        <v>2173.48551</v>
      </c>
      <c r="F272" s="193">
        <f t="shared" si="13"/>
        <v>0.97030603125</v>
      </c>
    </row>
    <row r="273" spans="1:6" ht="12.75">
      <c r="A273" s="74" t="s">
        <v>55</v>
      </c>
      <c r="B273" s="71" t="s">
        <v>367</v>
      </c>
      <c r="C273" s="27"/>
      <c r="D273" s="69">
        <f aca="true" t="shared" si="15" ref="D273:E275">D274</f>
        <v>4776.162259999999</v>
      </c>
      <c r="E273" s="175">
        <f t="shared" si="15"/>
        <v>0</v>
      </c>
      <c r="F273" s="193">
        <f t="shared" si="13"/>
        <v>0</v>
      </c>
    </row>
    <row r="274" spans="1:6" ht="12.75">
      <c r="A274" s="70" t="s">
        <v>59</v>
      </c>
      <c r="B274" s="71" t="s">
        <v>367</v>
      </c>
      <c r="C274" s="27"/>
      <c r="D274" s="69">
        <f t="shared" si="15"/>
        <v>4776.162259999999</v>
      </c>
      <c r="E274" s="175">
        <f t="shared" si="15"/>
        <v>0</v>
      </c>
      <c r="F274" s="193">
        <f t="shared" si="13"/>
        <v>0</v>
      </c>
    </row>
    <row r="275" spans="1:6" ht="12.75">
      <c r="A275" s="67" t="s">
        <v>37</v>
      </c>
      <c r="B275" s="71" t="s">
        <v>367</v>
      </c>
      <c r="C275" s="27" t="s">
        <v>38</v>
      </c>
      <c r="D275" s="69">
        <f t="shared" si="15"/>
        <v>4776.162259999999</v>
      </c>
      <c r="E275" s="175">
        <f t="shared" si="15"/>
        <v>0</v>
      </c>
      <c r="F275" s="193">
        <f t="shared" si="13"/>
        <v>0</v>
      </c>
    </row>
    <row r="276" spans="1:6" ht="12.75">
      <c r="A276" s="70" t="s">
        <v>60</v>
      </c>
      <c r="B276" s="71" t="s">
        <v>367</v>
      </c>
      <c r="C276" s="27" t="s">
        <v>61</v>
      </c>
      <c r="D276" s="69">
        <f>1000-450.13025+9000-42.08385-776.9306-3954.69304</f>
        <v>4776.162259999999</v>
      </c>
      <c r="E276" s="175">
        <v>0</v>
      </c>
      <c r="F276" s="193">
        <f t="shared" si="13"/>
        <v>0</v>
      </c>
    </row>
    <row r="277" spans="1:6" ht="51">
      <c r="A277" s="67" t="s">
        <v>19</v>
      </c>
      <c r="B277" s="71" t="s">
        <v>44</v>
      </c>
      <c r="C277" s="71" t="s">
        <v>20</v>
      </c>
      <c r="D277" s="69">
        <f>D278</f>
        <v>230</v>
      </c>
      <c r="E277" s="175">
        <f>E278</f>
        <v>182.232</v>
      </c>
      <c r="F277" s="193">
        <f t="shared" si="13"/>
        <v>0.7923130434782608</v>
      </c>
    </row>
    <row r="278" spans="1:6" ht="12.75">
      <c r="A278" s="67" t="s">
        <v>21</v>
      </c>
      <c r="B278" s="71" t="s">
        <v>44</v>
      </c>
      <c r="C278" s="71" t="s">
        <v>22</v>
      </c>
      <c r="D278" s="69">
        <v>230</v>
      </c>
      <c r="E278" s="175">
        <v>182.232</v>
      </c>
      <c r="F278" s="193">
        <f t="shared" si="13"/>
        <v>0.7923130434782608</v>
      </c>
    </row>
    <row r="279" spans="1:6" ht="25.5">
      <c r="A279" s="40" t="s">
        <v>274</v>
      </c>
      <c r="B279" s="71" t="s">
        <v>275</v>
      </c>
      <c r="C279" s="114"/>
      <c r="D279" s="69">
        <f aca="true" t="shared" si="16" ref="D279:E281">D280</f>
        <v>1478</v>
      </c>
      <c r="E279" s="175">
        <f t="shared" si="16"/>
        <v>947.26</v>
      </c>
      <c r="F279" s="193">
        <f t="shared" si="13"/>
        <v>0.6409066305818674</v>
      </c>
    </row>
    <row r="280" spans="1:6" ht="25.5">
      <c r="A280" s="40" t="s">
        <v>276</v>
      </c>
      <c r="B280" s="71" t="s">
        <v>275</v>
      </c>
      <c r="C280" s="114"/>
      <c r="D280" s="69">
        <f t="shared" si="16"/>
        <v>1478</v>
      </c>
      <c r="E280" s="175">
        <f t="shared" si="16"/>
        <v>947.26</v>
      </c>
      <c r="F280" s="193">
        <f t="shared" si="13"/>
        <v>0.6409066305818674</v>
      </c>
    </row>
    <row r="281" spans="1:6" ht="12.75">
      <c r="A281" s="28" t="s">
        <v>33</v>
      </c>
      <c r="B281" s="71" t="s">
        <v>275</v>
      </c>
      <c r="C281" s="114" t="s">
        <v>34</v>
      </c>
      <c r="D281" s="69">
        <f t="shared" si="16"/>
        <v>1478</v>
      </c>
      <c r="E281" s="175">
        <f t="shared" si="16"/>
        <v>947.26</v>
      </c>
      <c r="F281" s="193">
        <f t="shared" si="13"/>
        <v>0.6409066305818674</v>
      </c>
    </row>
    <row r="282" spans="1:6" ht="25.5">
      <c r="A282" s="28" t="s">
        <v>35</v>
      </c>
      <c r="B282" s="71" t="s">
        <v>275</v>
      </c>
      <c r="C282" s="114" t="s">
        <v>36</v>
      </c>
      <c r="D282" s="69">
        <f>1000+380+98</f>
        <v>1478</v>
      </c>
      <c r="E282" s="175">
        <v>947.26</v>
      </c>
      <c r="F282" s="193">
        <f t="shared" si="13"/>
        <v>0.6409066305818674</v>
      </c>
    </row>
    <row r="283" spans="1:6" ht="25.5">
      <c r="A283" s="79" t="s">
        <v>87</v>
      </c>
      <c r="B283" s="71" t="s">
        <v>86</v>
      </c>
      <c r="C283" s="27"/>
      <c r="D283" s="69">
        <f>D284+D286</f>
        <v>948</v>
      </c>
      <c r="E283" s="175">
        <f>E284+E286</f>
        <v>711</v>
      </c>
      <c r="F283" s="193">
        <f t="shared" si="13"/>
        <v>0.75</v>
      </c>
    </row>
    <row r="284" spans="1:6" ht="51">
      <c r="A284" s="67" t="s">
        <v>19</v>
      </c>
      <c r="B284" s="71" t="s">
        <v>86</v>
      </c>
      <c r="C284" s="27" t="s">
        <v>20</v>
      </c>
      <c r="D284" s="69">
        <f>D285</f>
        <v>853.7</v>
      </c>
      <c r="E284" s="175">
        <f>E285</f>
        <v>690.88515</v>
      </c>
      <c r="F284" s="193">
        <f t="shared" si="13"/>
        <v>0.8092832962398968</v>
      </c>
    </row>
    <row r="285" spans="1:6" ht="12.75">
      <c r="A285" s="67" t="s">
        <v>21</v>
      </c>
      <c r="B285" s="71" t="s">
        <v>86</v>
      </c>
      <c r="C285" s="27" t="s">
        <v>22</v>
      </c>
      <c r="D285" s="69">
        <f>705.7+62+9+77</f>
        <v>853.7</v>
      </c>
      <c r="E285" s="175">
        <v>690.88515</v>
      </c>
      <c r="F285" s="193">
        <f t="shared" si="13"/>
        <v>0.8092832962398968</v>
      </c>
    </row>
    <row r="286" spans="1:6" ht="12.75">
      <c r="A286" s="77" t="s">
        <v>33</v>
      </c>
      <c r="B286" s="71" t="s">
        <v>86</v>
      </c>
      <c r="C286" s="27" t="s">
        <v>34</v>
      </c>
      <c r="D286" s="153">
        <f>D287</f>
        <v>94.3</v>
      </c>
      <c r="E286" s="191">
        <f>E287</f>
        <v>20.11485</v>
      </c>
      <c r="F286" s="193">
        <f t="shared" si="13"/>
        <v>0.21330699893955463</v>
      </c>
    </row>
    <row r="287" spans="1:6" ht="25.5">
      <c r="A287" s="77" t="s">
        <v>35</v>
      </c>
      <c r="B287" s="71" t="s">
        <v>86</v>
      </c>
      <c r="C287" s="27" t="s">
        <v>36</v>
      </c>
      <c r="D287" s="69">
        <v>94.3</v>
      </c>
      <c r="E287" s="175">
        <v>20.11485</v>
      </c>
      <c r="F287" s="193">
        <f t="shared" si="13"/>
        <v>0.21330699893955463</v>
      </c>
    </row>
    <row r="288" spans="1:6" ht="12.75">
      <c r="A288" s="154" t="s">
        <v>285</v>
      </c>
      <c r="B288" s="155"/>
      <c r="C288" s="136"/>
      <c r="D288" s="156">
        <f>D258+D231+D230</f>
        <v>500593.7558</v>
      </c>
      <c r="E288" s="192">
        <f>E258+E231+E230</f>
        <v>334300.55391068006</v>
      </c>
      <c r="F288" s="193">
        <f t="shared" si="13"/>
        <v>0.6678080779821826</v>
      </c>
    </row>
  </sheetData>
  <sheetProtection selectLockedCells="1" selectUnlockedCells="1"/>
  <mergeCells count="1">
    <mergeCell ref="A7:D7"/>
  </mergeCells>
  <printOptions horizontalCentered="1"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5.00390625" style="4" customWidth="1"/>
    <col min="2" max="2" width="18.375" style="4" customWidth="1"/>
    <col min="3" max="3" width="16.625" style="4" customWidth="1"/>
    <col min="4" max="4" width="16.875" style="4" customWidth="1"/>
    <col min="5" max="5" width="12.625" style="4" customWidth="1"/>
    <col min="6" max="6" width="14.375" style="4" customWidth="1"/>
    <col min="7" max="16384" width="9.125" style="4" customWidth="1"/>
  </cols>
  <sheetData>
    <row r="1" spans="1:6" ht="12.75">
      <c r="A1" s="158"/>
      <c r="B1" s="158"/>
      <c r="C1" s="158"/>
      <c r="D1" s="54" t="s">
        <v>512</v>
      </c>
      <c r="E1" s="55"/>
      <c r="F1" s="56"/>
    </row>
    <row r="2" spans="1:6" ht="12.75">
      <c r="A2" s="158"/>
      <c r="B2" s="158"/>
      <c r="C2" s="158"/>
      <c r="D2" s="54" t="s">
        <v>377</v>
      </c>
      <c r="E2" s="55"/>
      <c r="F2" s="56"/>
    </row>
    <row r="3" spans="1:6" ht="12.75">
      <c r="A3" s="158"/>
      <c r="B3" s="158"/>
      <c r="C3" s="158"/>
      <c r="D3" s="54" t="s">
        <v>378</v>
      </c>
      <c r="E3" s="55"/>
      <c r="F3" s="56"/>
    </row>
    <row r="4" spans="1:6" ht="12.75">
      <c r="A4" s="158"/>
      <c r="B4" s="158"/>
      <c r="C4" s="158"/>
      <c r="D4" s="54" t="s">
        <v>379</v>
      </c>
      <c r="E4" s="55"/>
      <c r="F4" s="55"/>
    </row>
    <row r="5" spans="1:6" ht="12.75">
      <c r="A5" s="158"/>
      <c r="B5" s="158"/>
      <c r="C5" s="158"/>
      <c r="D5" s="54" t="s">
        <v>555</v>
      </c>
      <c r="E5" s="55"/>
      <c r="F5" s="56"/>
    </row>
    <row r="6" spans="1:6" ht="12.75">
      <c r="A6" s="158"/>
      <c r="B6" s="158"/>
      <c r="C6" s="158"/>
      <c r="D6" s="3"/>
      <c r="E6" s="158"/>
      <c r="F6" s="158"/>
    </row>
    <row r="7" spans="1:6" ht="12.75">
      <c r="A7" s="2"/>
      <c r="B7" s="158"/>
      <c r="C7" s="158"/>
      <c r="D7" s="158"/>
      <c r="E7" s="158"/>
      <c r="F7" s="158"/>
    </row>
    <row r="8" spans="1:6" ht="12.75">
      <c r="A8" s="2"/>
      <c r="B8" s="158"/>
      <c r="C8" s="158"/>
      <c r="D8" s="158"/>
      <c r="E8" s="158"/>
      <c r="F8" s="158"/>
    </row>
    <row r="9" spans="1:6" ht="12.75">
      <c r="A9" s="212" t="s">
        <v>513</v>
      </c>
      <c r="B9" s="212"/>
      <c r="C9" s="212"/>
      <c r="D9" s="212"/>
      <c r="E9" s="212"/>
      <c r="F9" s="212"/>
    </row>
    <row r="10" spans="1:6" ht="12.75">
      <c r="A10" s="212" t="s">
        <v>514</v>
      </c>
      <c r="B10" s="212"/>
      <c r="C10" s="212"/>
      <c r="D10" s="212"/>
      <c r="E10" s="212"/>
      <c r="F10" s="212"/>
    </row>
    <row r="11" spans="1:6" ht="12.75">
      <c r="A11" s="212" t="s">
        <v>556</v>
      </c>
      <c r="B11" s="212"/>
      <c r="C11" s="212"/>
      <c r="D11" s="212"/>
      <c r="E11" s="212"/>
      <c r="F11" s="212"/>
    </row>
    <row r="12" spans="1:6" ht="12.75">
      <c r="A12" s="158"/>
      <c r="B12" s="158"/>
      <c r="C12" s="158"/>
      <c r="D12" s="158"/>
      <c r="E12" s="158"/>
      <c r="F12" s="158"/>
    </row>
    <row r="13" spans="1:6" ht="63.75">
      <c r="A13" s="159" t="s">
        <v>368</v>
      </c>
      <c r="B13" s="159" t="s">
        <v>515</v>
      </c>
      <c r="C13" s="159" t="s">
        <v>516</v>
      </c>
      <c r="D13" s="159" t="s">
        <v>524</v>
      </c>
      <c r="E13" s="159" t="s">
        <v>517</v>
      </c>
      <c r="F13" s="159" t="s">
        <v>525</v>
      </c>
    </row>
    <row r="14" spans="1:6" ht="51">
      <c r="A14" s="160" t="s">
        <v>519</v>
      </c>
      <c r="B14" s="160" t="s">
        <v>551</v>
      </c>
      <c r="C14" s="160" t="s">
        <v>520</v>
      </c>
      <c r="D14" s="161">
        <v>23500</v>
      </c>
      <c r="E14" s="159" t="s">
        <v>521</v>
      </c>
      <c r="F14" s="161">
        <v>10000</v>
      </c>
    </row>
    <row r="15" spans="1:6" ht="38.25">
      <c r="A15" s="160"/>
      <c r="B15" s="160" t="s">
        <v>523</v>
      </c>
      <c r="C15" s="160"/>
      <c r="D15" s="161">
        <f>D14</f>
        <v>23500</v>
      </c>
      <c r="E15" s="159"/>
      <c r="F15" s="161">
        <f>F14</f>
        <v>10000</v>
      </c>
    </row>
    <row r="16" spans="1:6" ht="12.75">
      <c r="A16" s="158"/>
      <c r="B16" s="158"/>
      <c r="C16" s="158"/>
      <c r="D16" s="158"/>
      <c r="E16" s="158"/>
      <c r="F16" s="158"/>
    </row>
  </sheetData>
  <sheetProtection/>
  <mergeCells count="3">
    <mergeCell ref="A9:F9"/>
    <mergeCell ref="A10:F10"/>
    <mergeCell ref="A11:F1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6">
      <selection activeCell="C25" sqref="C25"/>
    </sheetView>
  </sheetViews>
  <sheetFormatPr defaultColWidth="9.00390625" defaultRowHeight="12.75"/>
  <cols>
    <col min="1" max="1" width="17.125" style="108" customWidth="1"/>
    <col min="2" max="2" width="17.875" style="108" customWidth="1"/>
    <col min="3" max="3" width="19.125" style="108" customWidth="1"/>
    <col min="4" max="4" width="20.375" style="108" customWidth="1"/>
    <col min="5" max="16384" width="9.125" style="108" customWidth="1"/>
  </cols>
  <sheetData>
    <row r="1" spans="1:4" ht="15.75">
      <c r="A1" s="158"/>
      <c r="B1" s="158"/>
      <c r="C1" s="54" t="s">
        <v>317</v>
      </c>
      <c r="D1" s="55"/>
    </row>
    <row r="2" spans="1:4" ht="15.75">
      <c r="A2" s="158"/>
      <c r="B2" s="158"/>
      <c r="C2" s="54" t="s">
        <v>377</v>
      </c>
      <c r="D2" s="55"/>
    </row>
    <row r="3" spans="1:4" ht="15.75">
      <c r="A3" s="158"/>
      <c r="B3" s="158"/>
      <c r="C3" s="54" t="s">
        <v>378</v>
      </c>
      <c r="D3" s="55"/>
    </row>
    <row r="4" spans="1:4" ht="15.75">
      <c r="A4" s="158"/>
      <c r="B4" s="158"/>
      <c r="C4" s="54" t="s">
        <v>379</v>
      </c>
      <c r="D4" s="55"/>
    </row>
    <row r="5" spans="1:4" ht="15.75">
      <c r="A5" s="158"/>
      <c r="B5" s="158"/>
      <c r="C5" s="54" t="s">
        <v>555</v>
      </c>
      <c r="D5" s="55"/>
    </row>
    <row r="6" spans="1:4" ht="15.75">
      <c r="A6" s="2"/>
      <c r="B6" s="158"/>
      <c r="C6" s="158"/>
      <c r="D6" s="158"/>
    </row>
    <row r="7" spans="1:4" ht="15.75">
      <c r="A7" s="2"/>
      <c r="B7" s="158"/>
      <c r="C7" s="158"/>
      <c r="D7" s="158"/>
    </row>
    <row r="8" spans="1:4" ht="15.75">
      <c r="A8" s="214" t="s">
        <v>513</v>
      </c>
      <c r="B8" s="214"/>
      <c r="C8" s="214"/>
      <c r="D8" s="214"/>
    </row>
    <row r="9" spans="1:4" ht="15.75">
      <c r="A9" s="214" t="s">
        <v>526</v>
      </c>
      <c r="B9" s="214"/>
      <c r="C9" s="214"/>
      <c r="D9" s="214"/>
    </row>
    <row r="10" spans="1:4" ht="15.75">
      <c r="A10" s="214" t="s">
        <v>542</v>
      </c>
      <c r="B10" s="214"/>
      <c r="C10" s="214"/>
      <c r="D10" s="214"/>
    </row>
    <row r="11" spans="1:4" ht="15.75">
      <c r="A11" s="4" t="s">
        <v>527</v>
      </c>
      <c r="B11" s="4"/>
      <c r="C11" s="4"/>
      <c r="D11" s="4"/>
    </row>
    <row r="12" spans="1:4" ht="15.75">
      <c r="A12" s="5" t="s">
        <v>528</v>
      </c>
      <c r="B12" s="4"/>
      <c r="C12" s="4"/>
      <c r="D12" s="4"/>
    </row>
    <row r="13" spans="1:4" ht="15.75">
      <c r="A13" s="6"/>
      <c r="B13" s="4"/>
      <c r="C13" s="4"/>
      <c r="D13" s="4"/>
    </row>
    <row r="14" spans="1:4" ht="38.25">
      <c r="A14" s="8" t="s">
        <v>529</v>
      </c>
      <c r="B14" s="9" t="s">
        <v>540</v>
      </c>
      <c r="C14" s="9" t="s">
        <v>531</v>
      </c>
      <c r="D14" s="9" t="s">
        <v>541</v>
      </c>
    </row>
    <row r="15" spans="1:4" ht="69.75" customHeight="1">
      <c r="A15" s="8" t="s">
        <v>532</v>
      </c>
      <c r="B15" s="13">
        <v>35000</v>
      </c>
      <c r="C15" s="9" t="s">
        <v>550</v>
      </c>
      <c r="D15" s="13">
        <v>35000</v>
      </c>
    </row>
    <row r="16" spans="1:4" ht="97.5" customHeight="1">
      <c r="A16" s="8" t="s">
        <v>533</v>
      </c>
      <c r="B16" s="14">
        <v>10000</v>
      </c>
      <c r="C16" s="9"/>
      <c r="D16" s="14">
        <v>10000</v>
      </c>
    </row>
    <row r="17" spans="1:4" ht="45" customHeight="1">
      <c r="A17" s="8" t="s">
        <v>534</v>
      </c>
      <c r="B17" s="14">
        <f>B16+B15</f>
        <v>45000</v>
      </c>
      <c r="C17" s="10"/>
      <c r="D17" s="14">
        <f>D16+D15</f>
        <v>45000</v>
      </c>
    </row>
    <row r="18" spans="1:4" ht="15.75">
      <c r="A18" s="7"/>
      <c r="B18" s="4"/>
      <c r="C18" s="4"/>
      <c r="D18" s="4"/>
    </row>
    <row r="19" spans="1:4" ht="15.75">
      <c r="A19" s="5" t="s">
        <v>535</v>
      </c>
      <c r="B19" s="4"/>
      <c r="C19" s="4"/>
      <c r="D19" s="4"/>
    </row>
    <row r="20" spans="1:4" ht="15.75">
      <c r="A20" s="6"/>
      <c r="B20" s="4"/>
      <c r="C20" s="4"/>
      <c r="D20" s="4"/>
    </row>
    <row r="21" spans="1:4" ht="15.75">
      <c r="A21" s="213" t="s">
        <v>368</v>
      </c>
      <c r="B21" s="213" t="s">
        <v>529</v>
      </c>
      <c r="C21" s="9" t="s">
        <v>536</v>
      </c>
      <c r="D21" s="9" t="s">
        <v>537</v>
      </c>
    </row>
    <row r="22" spans="1:4" ht="15.75">
      <c r="A22" s="213"/>
      <c r="B22" s="213"/>
      <c r="C22" s="9" t="s">
        <v>518</v>
      </c>
      <c r="D22" s="9" t="s">
        <v>530</v>
      </c>
    </row>
    <row r="23" spans="1:4" ht="63.75">
      <c r="A23" s="8" t="s">
        <v>519</v>
      </c>
      <c r="B23" s="8" t="s">
        <v>538</v>
      </c>
      <c r="C23" s="14">
        <v>10000</v>
      </c>
      <c r="D23" s="14">
        <v>10000</v>
      </c>
    </row>
    <row r="24" spans="1:4" ht="63.75">
      <c r="A24" s="8" t="s">
        <v>522</v>
      </c>
      <c r="B24" s="8" t="s">
        <v>532</v>
      </c>
      <c r="C24" s="14">
        <v>20000</v>
      </c>
      <c r="D24" s="14">
        <v>10000</v>
      </c>
    </row>
    <row r="25" spans="1:4" ht="51">
      <c r="A25" s="8"/>
      <c r="B25" s="8" t="s">
        <v>539</v>
      </c>
      <c r="C25" s="14">
        <f>C23+C24</f>
        <v>30000</v>
      </c>
      <c r="D25" s="14">
        <f>D23+D24</f>
        <v>20000</v>
      </c>
    </row>
    <row r="26" spans="1:4" ht="15.75">
      <c r="A26" s="4"/>
      <c r="B26" s="4"/>
      <c r="C26" s="4"/>
      <c r="D26" s="4"/>
    </row>
  </sheetData>
  <sheetProtection/>
  <mergeCells count="5">
    <mergeCell ref="A21:A22"/>
    <mergeCell ref="B21:B22"/>
    <mergeCell ref="A8:D8"/>
    <mergeCell ref="A9:D9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zoomScalePageLayoutView="0" workbookViewId="0" topLeftCell="A1">
      <selection activeCell="F15" sqref="F15"/>
    </sheetView>
  </sheetViews>
  <sheetFormatPr defaultColWidth="8.25390625" defaultRowHeight="12.75"/>
  <cols>
    <col min="1" max="1" width="5.25390625" style="162" customWidth="1"/>
    <col min="2" max="2" width="33.25390625" style="162" customWidth="1"/>
    <col min="3" max="3" width="15.25390625" style="162" customWidth="1"/>
    <col min="4" max="4" width="13.00390625" style="162" customWidth="1"/>
    <col min="5" max="5" width="14.25390625" style="162" customWidth="1"/>
    <col min="6" max="6" width="11.25390625" style="162" customWidth="1"/>
    <col min="7" max="7" width="10.25390625" style="162" customWidth="1"/>
    <col min="8" max="16384" width="8.25390625" style="162" customWidth="1"/>
  </cols>
  <sheetData>
    <row r="1" ht="12.75">
      <c r="F1" s="55"/>
    </row>
    <row r="2" spans="5:6" ht="12.75">
      <c r="E2" s="54" t="s">
        <v>557</v>
      </c>
      <c r="F2" s="55"/>
    </row>
    <row r="3" spans="5:6" ht="12.75">
      <c r="E3" s="54" t="s">
        <v>377</v>
      </c>
      <c r="F3" s="55"/>
    </row>
    <row r="4" spans="5:6" ht="12.75">
      <c r="E4" s="54" t="s">
        <v>378</v>
      </c>
      <c r="F4" s="55"/>
    </row>
    <row r="5" spans="5:6" ht="12.75">
      <c r="E5" s="54" t="s">
        <v>379</v>
      </c>
      <c r="F5" s="55"/>
    </row>
    <row r="6" spans="5:6" ht="12.75">
      <c r="E6" s="54" t="s">
        <v>555</v>
      </c>
      <c r="F6" s="55"/>
    </row>
    <row r="7" ht="12.75">
      <c r="F7" s="55"/>
    </row>
    <row r="8" ht="12.75">
      <c r="F8" s="55"/>
    </row>
    <row r="9" ht="12.75">
      <c r="F9" s="163"/>
    </row>
    <row r="10" spans="1:6" ht="12.75">
      <c r="A10" s="216" t="s">
        <v>543</v>
      </c>
      <c r="B10" s="216"/>
      <c r="C10" s="216"/>
      <c r="D10" s="216"/>
      <c r="E10" s="216"/>
      <c r="F10" s="216"/>
    </row>
    <row r="11" spans="1:6" ht="12.75">
      <c r="A11" s="216" t="s">
        <v>544</v>
      </c>
      <c r="B11" s="216"/>
      <c r="C11" s="216"/>
      <c r="D11" s="216"/>
      <c r="E11" s="216"/>
      <c r="F11" s="216"/>
    </row>
    <row r="12" spans="1:6" ht="12.75">
      <c r="A12" s="216" t="s">
        <v>548</v>
      </c>
      <c r="B12" s="216"/>
      <c r="C12" s="216"/>
      <c r="D12" s="216"/>
      <c r="E12" s="216"/>
      <c r="F12" s="216"/>
    </row>
    <row r="13" spans="1:6" ht="12.75">
      <c r="A13" s="216" t="s">
        <v>549</v>
      </c>
      <c r="B13" s="216"/>
      <c r="C13" s="216"/>
      <c r="D13" s="216"/>
      <c r="E13" s="216"/>
      <c r="F13" s="216"/>
    </row>
    <row r="14" spans="1:6" ht="12.75">
      <c r="A14" s="216" t="s">
        <v>552</v>
      </c>
      <c r="B14" s="216"/>
      <c r="C14" s="216"/>
      <c r="D14" s="216"/>
      <c r="E14" s="216"/>
      <c r="F14" s="216"/>
    </row>
    <row r="15" spans="1:6" ht="12.75">
      <c r="A15" s="107" t="s">
        <v>545</v>
      </c>
      <c r="B15" s="4"/>
      <c r="C15" s="4"/>
      <c r="D15" s="4"/>
      <c r="E15" s="4"/>
      <c r="F15" s="4"/>
    </row>
    <row r="16" spans="1:7" ht="12.75">
      <c r="A16" s="107" t="s">
        <v>546</v>
      </c>
      <c r="B16" s="4"/>
      <c r="C16" s="4"/>
      <c r="D16" s="4"/>
      <c r="E16" s="4"/>
      <c r="F16" s="4"/>
      <c r="G16" s="162" t="s">
        <v>579</v>
      </c>
    </row>
    <row r="17" spans="1:7" ht="51">
      <c r="A17" s="8" t="s">
        <v>368</v>
      </c>
      <c r="B17" s="8" t="s">
        <v>547</v>
      </c>
      <c r="C17" s="11" t="s">
        <v>565</v>
      </c>
      <c r="D17" s="11" t="s">
        <v>566</v>
      </c>
      <c r="E17" s="11" t="s">
        <v>567</v>
      </c>
      <c r="F17" s="11" t="s">
        <v>568</v>
      </c>
      <c r="G17" s="11" t="s">
        <v>569</v>
      </c>
    </row>
    <row r="18" spans="1:7" ht="267.75">
      <c r="A18" s="200">
        <v>1</v>
      </c>
      <c r="B18" s="11" t="s">
        <v>509</v>
      </c>
      <c r="C18" s="11" t="s">
        <v>570</v>
      </c>
      <c r="D18" s="11" t="s">
        <v>571</v>
      </c>
      <c r="E18" s="109">
        <v>700</v>
      </c>
      <c r="F18" s="109">
        <v>450.1</v>
      </c>
      <c r="G18" s="202">
        <f aca="true" t="shared" si="0" ref="G18:G23">E18-F18</f>
        <v>249.89999999999998</v>
      </c>
    </row>
    <row r="19" spans="1:7" ht="242.25">
      <c r="A19" s="200">
        <v>2</v>
      </c>
      <c r="B19" s="11" t="s">
        <v>510</v>
      </c>
      <c r="C19" s="11" t="s">
        <v>572</v>
      </c>
      <c r="D19" s="11" t="s">
        <v>571</v>
      </c>
      <c r="E19" s="109">
        <v>42.1</v>
      </c>
      <c r="F19" s="109">
        <v>42.1</v>
      </c>
      <c r="G19" s="202">
        <f t="shared" si="0"/>
        <v>0</v>
      </c>
    </row>
    <row r="20" spans="1:7" ht="191.25">
      <c r="A20" s="166">
        <v>3</v>
      </c>
      <c r="B20" s="11" t="s">
        <v>511</v>
      </c>
      <c r="C20" s="11" t="s">
        <v>573</v>
      </c>
      <c r="D20" s="11" t="s">
        <v>571</v>
      </c>
      <c r="E20" s="109">
        <v>776.93</v>
      </c>
      <c r="F20" s="109">
        <v>776.9</v>
      </c>
      <c r="G20" s="202">
        <f t="shared" si="0"/>
        <v>0.029999999999972715</v>
      </c>
    </row>
    <row r="21" spans="1:7" ht="306">
      <c r="A21" s="166">
        <v>4</v>
      </c>
      <c r="B21" s="11" t="s">
        <v>553</v>
      </c>
      <c r="C21" s="11" t="s">
        <v>574</v>
      </c>
      <c r="D21" s="11" t="s">
        <v>571</v>
      </c>
      <c r="E21" s="109">
        <v>4662.82</v>
      </c>
      <c r="F21" s="109">
        <v>0</v>
      </c>
      <c r="G21" s="202">
        <f t="shared" si="0"/>
        <v>4662.82</v>
      </c>
    </row>
    <row r="22" spans="1:7" ht="165.75">
      <c r="A22" s="166">
        <v>5</v>
      </c>
      <c r="B22" s="11" t="s">
        <v>554</v>
      </c>
      <c r="C22" s="11" t="s">
        <v>575</v>
      </c>
      <c r="D22" s="11" t="s">
        <v>571</v>
      </c>
      <c r="E22" s="109">
        <v>641.92</v>
      </c>
      <c r="F22" s="109">
        <v>0</v>
      </c>
      <c r="G22" s="202">
        <f t="shared" si="0"/>
        <v>641.92</v>
      </c>
    </row>
    <row r="23" spans="1:7" ht="15">
      <c r="A23" s="166"/>
      <c r="B23" s="215" t="s">
        <v>576</v>
      </c>
      <c r="C23" s="215"/>
      <c r="D23" s="201"/>
      <c r="E23" s="109">
        <f>SUM(E18:E22)</f>
        <v>6823.7699999999995</v>
      </c>
      <c r="F23" s="109">
        <f>SUM(F18:F22)</f>
        <v>1269.1</v>
      </c>
      <c r="G23" s="202">
        <f t="shared" si="0"/>
        <v>5554.67</v>
      </c>
    </row>
    <row r="24" spans="1:7" ht="15">
      <c r="A24" s="166"/>
      <c r="B24" s="215" t="s">
        <v>577</v>
      </c>
      <c r="C24" s="215"/>
      <c r="D24" s="201"/>
      <c r="E24" s="109">
        <v>12100</v>
      </c>
      <c r="F24" s="109">
        <f>SUM(F18:F22)</f>
        <v>1269.1</v>
      </c>
      <c r="G24" s="166"/>
    </row>
    <row r="25" spans="2:7" ht="15">
      <c r="B25" s="215" t="s">
        <v>578</v>
      </c>
      <c r="C25" s="215"/>
      <c r="D25" s="215"/>
      <c r="E25" s="109">
        <f>E24-E23</f>
        <v>5276.2300000000005</v>
      </c>
      <c r="F25" s="167"/>
      <c r="G25" s="166"/>
    </row>
    <row r="26" spans="1:7" ht="12.75">
      <c r="A26" s="12"/>
      <c r="B26" s="11"/>
      <c r="C26" s="109"/>
      <c r="D26" s="109"/>
      <c r="E26" s="164"/>
      <c r="F26" s="166"/>
      <c r="G26" s="166"/>
    </row>
    <row r="27" spans="4:9" ht="12.75">
      <c r="D27" s="163"/>
      <c r="E27" s="163"/>
      <c r="H27" s="165"/>
      <c r="I27" s="165"/>
    </row>
    <row r="28" spans="4:5" ht="12.75">
      <c r="D28" s="163"/>
      <c r="E28" s="163"/>
    </row>
    <row r="29" spans="4:5" ht="12.75">
      <c r="D29" s="163"/>
      <c r="E29" s="163"/>
    </row>
    <row r="30" spans="4:5" ht="12.75">
      <c r="D30" s="163"/>
      <c r="E30" s="163"/>
    </row>
    <row r="31" spans="4:5" ht="12.75">
      <c r="D31" s="163"/>
      <c r="E31" s="163"/>
    </row>
    <row r="32" spans="4:5" ht="12.75">
      <c r="D32" s="163"/>
      <c r="E32" s="163"/>
    </row>
    <row r="33" spans="4:5" ht="12.75">
      <c r="D33" s="163"/>
      <c r="E33" s="163"/>
    </row>
    <row r="34" spans="4:5" ht="12.75">
      <c r="D34" s="163"/>
      <c r="E34" s="163"/>
    </row>
    <row r="35" spans="4:5" ht="12.75">
      <c r="D35" s="163"/>
      <c r="E35" s="163"/>
    </row>
    <row r="36" spans="4:5" ht="12.75">
      <c r="D36" s="163"/>
      <c r="E36" s="163"/>
    </row>
    <row r="37" spans="4:5" ht="12.75">
      <c r="D37" s="163"/>
      <c r="E37" s="163"/>
    </row>
    <row r="38" spans="4:5" ht="12.75">
      <c r="D38" s="163"/>
      <c r="E38" s="163"/>
    </row>
    <row r="39" spans="4:5" ht="12.75">
      <c r="D39" s="163"/>
      <c r="E39" s="163"/>
    </row>
    <row r="40" spans="4:5" ht="12.75">
      <c r="D40" s="163"/>
      <c r="E40" s="163"/>
    </row>
    <row r="41" spans="4:5" ht="12.75">
      <c r="D41" s="163"/>
      <c r="E41" s="163"/>
    </row>
    <row r="42" spans="4:5" ht="12.75">
      <c r="D42" s="163"/>
      <c r="E42" s="163"/>
    </row>
    <row r="43" spans="4:5" ht="12.75">
      <c r="D43" s="163"/>
      <c r="E43" s="163"/>
    </row>
    <row r="44" spans="4:5" ht="12.75">
      <c r="D44" s="163"/>
      <c r="E44" s="163"/>
    </row>
    <row r="45" spans="4:5" ht="12.75">
      <c r="D45" s="163"/>
      <c r="E45" s="163"/>
    </row>
  </sheetData>
  <sheetProtection/>
  <mergeCells count="8">
    <mergeCell ref="B23:C23"/>
    <mergeCell ref="B24:C24"/>
    <mergeCell ref="B25:D25"/>
    <mergeCell ref="A10:F10"/>
    <mergeCell ref="A11:F11"/>
    <mergeCell ref="A12:F12"/>
    <mergeCell ref="A13:F13"/>
    <mergeCell ref="A14:F14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Ирина А. Чистякова</cp:lastModifiedBy>
  <cp:lastPrinted>2020-03-23T12:33:30Z</cp:lastPrinted>
  <dcterms:created xsi:type="dcterms:W3CDTF">2019-07-16T06:32:32Z</dcterms:created>
  <dcterms:modified xsi:type="dcterms:W3CDTF">2020-03-24T06:11:37Z</dcterms:modified>
  <cp:category/>
  <cp:version/>
  <cp:contentType/>
  <cp:contentStatus/>
</cp:coreProperties>
</file>